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8.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9.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omments8.xml" ContentType="application/vnd.openxmlformats-officedocument.spreadsheetml.comments+xml"/>
  <Override PartName="/xl/threadedComments/threadedComment5.xml" ContentType="application/vnd.ms-excel.threadedcomments+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3.xml" ContentType="application/vnd.openxmlformats-officedocument.spreadsheetml.comment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9.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0.xml" ContentType="application/vnd.openxmlformats-officedocument.drawing+xml"/>
  <Override PartName="/xl/comments14.xml" ContentType="application/vnd.openxmlformats-officedocument.spreadsheetml.comment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1.xml" ContentType="application/vnd.openxmlformats-officedocument.drawing+xml"/>
  <Override PartName="/xl/comments15.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2.xml" ContentType="application/vnd.openxmlformats-officedocument.drawing+xml"/>
  <Override PartName="/xl/comments16.xml" ContentType="application/vnd.openxmlformats-officedocument.spreadsheetml.comment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3.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4.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25.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26.xml" ContentType="application/vnd.openxmlformats-officedocument.drawing+xml"/>
  <Override PartName="/xl/charts/chart58.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drawings/drawing31.xml" ContentType="application/vnd.openxmlformats-officedocument.drawing+xml"/>
  <Override PartName="/xl/comments17.xml" ContentType="application/vnd.openxmlformats-officedocument.spreadsheetml.comments+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2.xml" ContentType="application/vnd.openxmlformats-officedocument.drawingml.chartshapes+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3.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4.xml" ContentType="application/vnd.openxmlformats-officedocument.drawing+xml"/>
  <Override PartName="/xl/charts/chart64.xml" ContentType="application/vnd.openxmlformats-officedocument.drawingml.chart+xml"/>
  <Override PartName="/xl/drawings/drawing35.xml" ContentType="application/vnd.openxmlformats-officedocument.drawing+xml"/>
  <Override PartName="/xl/charts/chart65.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36.xml" ContentType="application/vnd.openxmlformats-officedocument.drawing+xml"/>
  <Override PartName="/xl/charts/chart66.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37.xml" ContentType="application/vnd.openxmlformats-officedocument.drawingml.chartshapes+xml"/>
  <Override PartName="/xl/charts/chart67.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38.xml" ContentType="application/vnd.openxmlformats-officedocument.drawing+xml"/>
  <Override PartName="/xl/charts/chart68.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39.xml" ContentType="application/vnd.openxmlformats-officedocument.drawingml.chartshapes+xml"/>
  <Override PartName="/xl/charts/chart69.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70.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42.xml" ContentType="application/vnd.openxmlformats-officedocument.drawing+xml"/>
  <Override PartName="/xl/charts/chart71.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72.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45.xml" ContentType="application/vnd.openxmlformats-officedocument.drawingml.chartshapes+xml"/>
  <Override PartName="/xl/charts/chart73.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74.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75.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charts/chart76.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77.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54.xml" ContentType="application/vnd.openxmlformats-officedocument.drawingml.chartshapes+xml"/>
  <Override PartName="/xl/drawings/drawing55.xml" ContentType="application/vnd.openxmlformats-officedocument.drawing+xml"/>
  <Override PartName="/xl/charts/chart78.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56.xml" ContentType="application/vnd.openxmlformats-officedocument.drawingml.chartshapes+xml"/>
  <Override PartName="/xl/drawings/drawing5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98A4CF94-C02E-4400-9147-3D4927B3DF1D}" xr6:coauthVersionLast="47" xr6:coauthVersionMax="47" xr10:uidLastSave="{00000000-0000-0000-0000-000000000000}"/>
  <bookViews>
    <workbookView xWindow="-108" yWindow="-108" windowWidth="23256" windowHeight="12576" tabRatio="811" activeTab="4" xr2:uid="{00000000-000D-0000-FFFF-FFFF00000000}"/>
  </bookViews>
  <sheets>
    <sheet name="Origen de datos QT" sheetId="101" r:id="rId1"/>
    <sheet name="DATOS-EC-UIO" sheetId="28" r:id="rId2"/>
    <sheet name="Llegadas " sheetId="21" r:id="rId3"/>
    <sheet name="Llegadas x nacionalidad" sheetId="70" r:id="rId4"/>
    <sheet name="Datos Aeropuerto AMS" sheetId="59" r:id="rId5"/>
    <sheet name="Cifras Clave" sheetId="75" r:id="rId6"/>
    <sheet name="Sugeridos-estancia-gasto" sheetId="72" r:id="rId7"/>
    <sheet name="Tendencias nacionalidad" sheetId="110" state="hidden" r:id="rId8"/>
    <sheet name="Puntos_información_QT" sheetId="108" r:id="rId9"/>
    <sheet name="Museos UIO" sheetId="109" r:id="rId10"/>
    <sheet name="ICCA" sheetId="98" r:id="rId11"/>
    <sheet name="PIB Turistico DMQ" sheetId="71" state="hidden" r:id="rId12"/>
    <sheet name="Gráfico Feriados" sheetId="127" r:id="rId13"/>
    <sheet name="Resume_FF" sheetId="116" r:id="rId14"/>
    <sheet name="FEB-MAR-Carnaval" sheetId="117" r:id="rId15"/>
    <sheet name="ABR-Semana Santa" sheetId="118" r:id="rId16"/>
    <sheet name="MAY-Trabajo" sheetId="119" r:id="rId17"/>
    <sheet name="MAY-Bat Pich" sheetId="120" r:id="rId18"/>
    <sheet name="AGO-Primer grito" sheetId="121" r:id="rId19"/>
    <sheet name="OCT-Ind.GYE" sheetId="122" r:id="rId20"/>
    <sheet name="NOV-Finados" sheetId="123" r:id="rId21"/>
    <sheet name="DIC-FFQQ" sheetId="124" r:id="rId22"/>
    <sheet name="DIC-FF Navidad" sheetId="125" r:id="rId23"/>
    <sheet name="DIC-Fin Año" sheetId="126" r:id="rId24"/>
    <sheet name="4x4 EOH" sheetId="107" state="hidden" r:id="rId25"/>
    <sheet name="TOH (hist) " sheetId="62" r:id="rId26"/>
    <sheet name="Tarifa Promedio Hab ocupada" sheetId="29" r:id="rId27"/>
    <sheet name="Estancia hotelera" sheetId="36" r:id="rId28"/>
    <sheet name="TOH (hist)  (2)" sheetId="114" state="hidden" r:id="rId29"/>
    <sheet name="Ingresos (hist)" sheetId="115" state="hidden" r:id="rId30"/>
    <sheet name="Estancia hotelera (PAISES)" sheetId="87" state="hidden" r:id="rId31"/>
    <sheet name="RevPar tar_hab_Disponible" sheetId="63" state="hidden" r:id="rId32"/>
    <sheet name="establecimientos UIO" sheetId="48" r:id="rId33"/>
    <sheet name="% y # establecimientos act econ" sheetId="60" r:id="rId34"/>
    <sheet name="Actividades económicas TUR" sheetId="49" r:id="rId35"/>
    <sheet name="Transporte TUR" sheetId="50" r:id="rId36"/>
    <sheet name="Aloj x categoria" sheetId="93" r:id="rId37"/>
    <sheet name="Aloj-Capacidad-TASA" sheetId="95" r:id="rId38"/>
    <sheet name="Aloj x sectores" sheetId="94" r:id="rId39"/>
    <sheet name="EMPLEO_tur_DMQ" sheetId="97" r:id="rId40"/>
    <sheet name="perfil-mas visitado" sheetId="77" r:id="rId41"/>
    <sheet name="perfil-Alrededor_parroquia" sheetId="64" r:id="rId42"/>
    <sheet name="Perfil-otras-cyties" sheetId="69" r:id="rId43"/>
    <sheet name="Ingresos-divisas" sheetId="9" r:id="rId44"/>
    <sheet name="perfil-Dist_Gasto" sheetId="23" r:id="rId45"/>
    <sheet name="perfil-Nvl_Educ" sheetId="10" r:id="rId46"/>
    <sheet name="perfil-Edad" sheetId="11" r:id="rId47"/>
    <sheet name="perfil-Motivo Viaje-2015" sheetId="12" r:id="rId48"/>
    <sheet name="perfil-Razon llegada" sheetId="13" r:id="rId49"/>
    <sheet name="perfil-Medio Info" sheetId="14" r:id="rId50"/>
    <sheet name="perfil-viaja con" sheetId="15" r:id="rId51"/>
    <sheet name="perfil-Organiza viaje" sheetId="16" r:id="rId52"/>
    <sheet name="perfil-Hospedaje tipo" sheetId="22" r:id="rId53"/>
    <sheet name="SNAP" sheetId="96" r:id="rId54"/>
  </sheets>
  <externalReferences>
    <externalReference r:id="rId55"/>
    <externalReference r:id="rId56"/>
    <externalReference r:id="rId57"/>
    <externalReference r:id="rId58"/>
    <externalReference r:id="rId59"/>
    <externalReference r:id="rId60"/>
  </externalReferences>
  <definedNames>
    <definedName name="_xlnm._FilterDatabase" localSheetId="33" hidden="1">'% y # establecimientos act econ'!$A$22:$J$60</definedName>
    <definedName name="_xlnm._FilterDatabase" localSheetId="34" hidden="1">'Actividades económicas TUR'!$C$4:$T$8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'DATOS-EC-UIO'!$A$1:$M$146</definedName>
    <definedName name="_xlnm.Print_Area" localSheetId="3">'Llegadas x nacionalidad'!$C$2:$JL$41</definedName>
    <definedName name="_xlnm.Print_Area" localSheetId="7">'Tendencias nacionalidad'!$C$7:$IV$88</definedName>
    <definedName name="_xlnm.Print_Titles" localSheetId="1">'DATOS-EC-UIO'!$1:$4</definedName>
    <definedName name="_xlnm.Print_Titles" localSheetId="3">'Llegadas x nacionalidad'!$B:$C,'Llegadas x nacionalidad'!#REF!</definedName>
    <definedName name="_xlnm.Print_Titles" localSheetId="0">'Origen de datos QT'!$1:$4</definedName>
    <definedName name="_xlnm.Print_Titles" localSheetId="13">Resume_FF!$3:$3</definedName>
    <definedName name="_xlnm.Print_Titles" localSheetId="7">'Tendencias nacionalidad'!$B:$C,'Tendencias nacionalidad'!$2:$6</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7" i="59" l="1"/>
  <c r="C17" i="21" l="1"/>
  <c r="D17" i="21"/>
  <c r="E17" i="21"/>
  <c r="F17" i="21"/>
  <c r="G17" i="21"/>
  <c r="H17" i="21"/>
  <c r="I17" i="21"/>
  <c r="J17" i="21"/>
  <c r="K17" i="21"/>
  <c r="L17" i="21"/>
  <c r="M17" i="21"/>
  <c r="N17" i="21"/>
  <c r="O17" i="21"/>
  <c r="P17" i="21"/>
  <c r="Q17" i="21"/>
  <c r="B17" i="21"/>
  <c r="JQ8" i="70"/>
  <c r="JQ9" i="70"/>
  <c r="JQ10" i="70"/>
  <c r="JQ11" i="70"/>
  <c r="JQ12" i="70"/>
  <c r="JQ13" i="70"/>
  <c r="JQ14" i="70"/>
  <c r="JQ15" i="70"/>
  <c r="JQ16" i="70"/>
  <c r="JQ17" i="70"/>
  <c r="JQ18" i="70"/>
  <c r="JQ19" i="70"/>
  <c r="JQ20" i="70"/>
  <c r="JQ21" i="70"/>
  <c r="JQ22" i="70"/>
  <c r="JQ23" i="70"/>
  <c r="JQ24" i="70"/>
  <c r="JQ25" i="70"/>
  <c r="JQ26" i="70"/>
  <c r="JQ27" i="70"/>
  <c r="JQ28" i="70"/>
  <c r="JQ29" i="70"/>
  <c r="JQ30" i="70"/>
  <c r="JQ31" i="70"/>
  <c r="JQ32" i="70"/>
  <c r="JQ33" i="70"/>
  <c r="JQ34" i="70"/>
  <c r="JQ35" i="70"/>
  <c r="JQ36" i="70"/>
  <c r="JQ37" i="70"/>
  <c r="JQ7" i="70"/>
  <c r="D19" i="94" l="1"/>
  <c r="C19" i="94"/>
  <c r="D41" i="94"/>
  <c r="C41" i="94"/>
  <c r="C40" i="127"/>
  <c r="B40" i="127"/>
  <c r="I37" i="127"/>
  <c r="H37" i="127"/>
  <c r="F37" i="127"/>
  <c r="E37" i="127"/>
  <c r="D37" i="127"/>
  <c r="C37" i="127"/>
  <c r="B37" i="127"/>
  <c r="AA16" i="119"/>
  <c r="Z16" i="119"/>
  <c r="Y26" i="120"/>
  <c r="AA26" i="120"/>
  <c r="V30" i="120"/>
  <c r="W30" i="120"/>
  <c r="AM9" i="21"/>
  <c r="AM10" i="21"/>
  <c r="AM11" i="21"/>
  <c r="AM12" i="21"/>
  <c r="AM13" i="21"/>
  <c r="AM14" i="21"/>
  <c r="AM15" i="21"/>
  <c r="AM8" i="21"/>
  <c r="AN9" i="21"/>
  <c r="AN10" i="21"/>
  <c r="AN11" i="21"/>
  <c r="AN12" i="21"/>
  <c r="AN13" i="21"/>
  <c r="AN14" i="21"/>
  <c r="AM5" i="21"/>
  <c r="AM6" i="21"/>
  <c r="AM7" i="21"/>
  <c r="AM4" i="21"/>
  <c r="AN5" i="21"/>
  <c r="AN4" i="21"/>
  <c r="AA7" i="120"/>
  <c r="AA6" i="120"/>
  <c r="AM16" i="21" l="1"/>
  <c r="Y30" i="120"/>
  <c r="N6" i="120"/>
  <c r="M6" i="120"/>
  <c r="N7" i="120" s="1"/>
  <c r="Q236" i="59"/>
  <c r="Q235" i="59"/>
  <c r="AA30" i="120" l="1"/>
  <c r="L109" i="28"/>
  <c r="L95" i="28"/>
  <c r="L97" i="28"/>
  <c r="L99" i="28"/>
  <c r="L101" i="28"/>
  <c r="L103" i="28"/>
  <c r="K49" i="97"/>
  <c r="J49" i="97"/>
  <c r="L48" i="97"/>
  <c r="L47" i="97"/>
  <c r="J36" i="97"/>
  <c r="J39" i="97" s="1"/>
  <c r="J54" i="97" s="1"/>
  <c r="K34" i="97"/>
  <c r="K50" i="97" s="1"/>
  <c r="K33" i="97"/>
  <c r="J33" i="97"/>
  <c r="L32" i="97"/>
  <c r="L31" i="97"/>
  <c r="L30" i="97"/>
  <c r="L29" i="97"/>
  <c r="L28" i="97"/>
  <c r="K12" i="97"/>
  <c r="K11" i="97"/>
  <c r="J11" i="97"/>
  <c r="L10" i="97"/>
  <c r="L9" i="97"/>
  <c r="L8" i="97"/>
  <c r="L7" i="97"/>
  <c r="L6" i="97"/>
  <c r="J16" i="94"/>
  <c r="H18" i="94"/>
  <c r="I18" i="94"/>
  <c r="G18" i="94"/>
  <c r="I16" i="94"/>
  <c r="G16" i="94"/>
  <c r="I8" i="94"/>
  <c r="G8" i="94"/>
  <c r="I6" i="94"/>
  <c r="G6" i="94"/>
  <c r="H15" i="93"/>
  <c r="G15" i="93"/>
  <c r="F15" i="93"/>
  <c r="E15" i="93"/>
  <c r="D15" i="93"/>
  <c r="C15" i="93"/>
  <c r="R11" i="49"/>
  <c r="AA11" i="49" s="1"/>
  <c r="J60" i="60"/>
  <c r="J12" i="60"/>
  <c r="L8" i="60" s="1"/>
  <c r="F18" i="48"/>
  <c r="L105" i="28" l="1"/>
  <c r="L104" i="28" s="1"/>
  <c r="H6" i="94"/>
  <c r="L49" i="97"/>
  <c r="M47" i="97" s="1"/>
  <c r="L33" i="97"/>
  <c r="M30" i="97" s="1"/>
  <c r="L11" i="97"/>
  <c r="L12" i="97" s="1"/>
  <c r="L13" i="97" s="1"/>
  <c r="H8" i="94"/>
  <c r="L110" i="28"/>
  <c r="L111" i="28"/>
  <c r="L6" i="60"/>
  <c r="L9" i="60"/>
  <c r="L10" i="60"/>
  <c r="L11" i="60"/>
  <c r="L7" i="60"/>
  <c r="J8" i="94"/>
  <c r="J18" i="94"/>
  <c r="H16" i="94"/>
  <c r="J6" i="94"/>
  <c r="D23" i="95"/>
  <c r="C23" i="95"/>
  <c r="E23" i="95"/>
  <c r="K15" i="93"/>
  <c r="G16" i="93" s="1"/>
  <c r="L98" i="28" l="1"/>
  <c r="L100" i="28"/>
  <c r="L96" i="28"/>
  <c r="L102" i="28"/>
  <c r="L50" i="97"/>
  <c r="L51" i="97" s="1"/>
  <c r="M6" i="97"/>
  <c r="M48" i="97"/>
  <c r="M32" i="97"/>
  <c r="M31" i="97"/>
  <c r="M29" i="97"/>
  <c r="M53" i="97"/>
  <c r="J18" i="97"/>
  <c r="J19" i="97" s="1"/>
  <c r="L34" i="97"/>
  <c r="L35" i="97" s="1"/>
  <c r="M38" i="97" s="1"/>
  <c r="M28" i="97"/>
  <c r="F16" i="93"/>
  <c r="E16" i="93"/>
  <c r="H16" i="93"/>
  <c r="D16" i="93"/>
  <c r="C16" i="93"/>
  <c r="L125" i="28" l="1"/>
  <c r="L126" i="28"/>
  <c r="L127" i="28"/>
  <c r="L128" i="28"/>
  <c r="L129" i="28" s="1"/>
  <c r="L130" i="28" s="1"/>
  <c r="L120" i="28"/>
  <c r="L121" i="28" s="1"/>
  <c r="K120" i="28"/>
  <c r="J120" i="28"/>
  <c r="I120" i="28"/>
  <c r="L87" i="28" l="1"/>
  <c r="L88" i="28"/>
  <c r="L89" i="28"/>
  <c r="L90" i="28"/>
  <c r="T17" i="36"/>
  <c r="T18" i="36"/>
  <c r="T19" i="36"/>
  <c r="T16" i="36"/>
  <c r="L83" i="28"/>
  <c r="L84" i="28"/>
  <c r="L85" i="28"/>
  <c r="L86" i="28"/>
  <c r="GS9" i="29"/>
  <c r="GS8" i="29"/>
  <c r="GS10" i="29"/>
  <c r="X7" i="62"/>
  <c r="Y7" i="62"/>
  <c r="Z7" i="62"/>
  <c r="AA7" i="62"/>
  <c r="AB7" i="62"/>
  <c r="AC7" i="62"/>
  <c r="AD7" i="62"/>
  <c r="AE7" i="62"/>
  <c r="AF7" i="62"/>
  <c r="AG7" i="62"/>
  <c r="AH7" i="62"/>
  <c r="W7" i="62"/>
  <c r="S8" i="62"/>
  <c r="L79" i="28"/>
  <c r="P14" i="9"/>
  <c r="L65" i="28"/>
  <c r="L66" i="28"/>
  <c r="L64" i="28"/>
  <c r="P6" i="72"/>
  <c r="P9" i="72" s="1"/>
  <c r="P8" i="72"/>
  <c r="P10" i="72"/>
  <c r="L48" i="28"/>
  <c r="L49" i="28" s="1"/>
  <c r="K49" i="28"/>
  <c r="H267" i="59"/>
  <c r="I267" i="59"/>
  <c r="J267" i="59"/>
  <c r="K267" i="59"/>
  <c r="L267" i="59"/>
  <c r="M267" i="59"/>
  <c r="N267" i="59"/>
  <c r="H260" i="59"/>
  <c r="I260" i="59"/>
  <c r="J260" i="59"/>
  <c r="K260" i="59"/>
  <c r="L260" i="59"/>
  <c r="M260" i="59"/>
  <c r="N260" i="59"/>
  <c r="G260" i="59"/>
  <c r="G258" i="59"/>
  <c r="H254" i="59"/>
  <c r="I254" i="59"/>
  <c r="J254" i="59"/>
  <c r="K254" i="59"/>
  <c r="L254" i="59"/>
  <c r="M254" i="59"/>
  <c r="N254" i="59"/>
  <c r="G254" i="59"/>
  <c r="H240" i="59"/>
  <c r="I240" i="59"/>
  <c r="J240" i="59"/>
  <c r="K240" i="59"/>
  <c r="L240" i="59"/>
  <c r="M240" i="59"/>
  <c r="N240" i="59"/>
  <c r="H241" i="59"/>
  <c r="I241" i="59"/>
  <c r="J241" i="59"/>
  <c r="K241" i="59"/>
  <c r="L241" i="59"/>
  <c r="M241" i="59"/>
  <c r="N241" i="59"/>
  <c r="H242" i="59"/>
  <c r="I242" i="59"/>
  <c r="J242" i="59"/>
  <c r="K242" i="59"/>
  <c r="L242" i="59"/>
  <c r="M242" i="59"/>
  <c r="N242" i="59"/>
  <c r="G242" i="59"/>
  <c r="G241" i="59"/>
  <c r="G240" i="59"/>
  <c r="F237" i="59"/>
  <c r="N6" i="119"/>
  <c r="N7" i="119" s="1"/>
  <c r="AA28" i="119" s="1"/>
  <c r="M6" i="119"/>
  <c r="AA7" i="119"/>
  <c r="AA6" i="119"/>
  <c r="Y28" i="119"/>
  <c r="J7" i="119"/>
  <c r="AB27" i="119"/>
  <c r="JT8" i="70"/>
  <c r="JT9" i="70"/>
  <c r="JT10" i="70"/>
  <c r="JT11" i="70"/>
  <c r="JT12" i="70"/>
  <c r="JT13" i="70"/>
  <c r="JT14" i="70"/>
  <c r="JT15" i="70"/>
  <c r="JT16" i="70"/>
  <c r="JT17" i="70"/>
  <c r="JT18" i="70"/>
  <c r="JT19" i="70"/>
  <c r="JT20" i="70"/>
  <c r="JT21" i="70"/>
  <c r="JT22" i="70"/>
  <c r="JT23" i="70"/>
  <c r="JT24" i="70"/>
  <c r="JT25" i="70"/>
  <c r="JT26" i="70"/>
  <c r="JT27" i="70"/>
  <c r="JT28" i="70"/>
  <c r="JT29" i="70"/>
  <c r="JT30" i="70"/>
  <c r="JT31" i="70"/>
  <c r="JT32" i="70"/>
  <c r="JT33" i="70"/>
  <c r="JT34" i="70"/>
  <c r="JT35" i="70"/>
  <c r="JT36" i="70"/>
  <c r="JT37" i="70"/>
  <c r="JT7" i="70"/>
  <c r="Q226" i="59"/>
  <c r="E237" i="59"/>
  <c r="GS7" i="29" l="1"/>
  <c r="AJ6" i="21"/>
  <c r="N23" i="21"/>
  <c r="X19" i="118"/>
  <c r="Z20" i="118"/>
  <c r="Z23" i="118"/>
  <c r="L7" i="118"/>
  <c r="Y20" i="118"/>
  <c r="Z22" i="118" s="1"/>
  <c r="Y19" i="118"/>
  <c r="X20" i="118"/>
  <c r="J9" i="118"/>
  <c r="J7" i="118"/>
  <c r="Y9" i="118"/>
  <c r="X9" i="118"/>
  <c r="X8" i="118"/>
  <c r="S6" i="62"/>
  <c r="S7" i="62"/>
  <c r="BC8" i="62"/>
  <c r="X8" i="62"/>
  <c r="Y8" i="62"/>
  <c r="AD8" i="62"/>
  <c r="AE8" i="62"/>
  <c r="AF8" i="62"/>
  <c r="AG8" i="62"/>
  <c r="W8" i="62"/>
  <c r="Z8" i="62"/>
  <c r="AA8" i="62"/>
  <c r="AB8" i="62"/>
  <c r="AC8" i="62"/>
  <c r="AH8" i="62"/>
  <c r="IR34" i="70"/>
  <c r="IQ34" i="70"/>
  <c r="IO34" i="70"/>
  <c r="IN34" i="70"/>
  <c r="JN34" i="70"/>
  <c r="KL34" i="70" s="1"/>
  <c r="IM34" i="70"/>
  <c r="IL34" i="70"/>
  <c r="IK34" i="70"/>
  <c r="KL7" i="70"/>
  <c r="KL8" i="70"/>
  <c r="KL9" i="70"/>
  <c r="KL10" i="70"/>
  <c r="KL11" i="70"/>
  <c r="KL12" i="70"/>
  <c r="KL13" i="70"/>
  <c r="KL14" i="70"/>
  <c r="KL15" i="70"/>
  <c r="KL17" i="70"/>
  <c r="KL18" i="70"/>
  <c r="KL19" i="70"/>
  <c r="KL20" i="70"/>
  <c r="KL21" i="70"/>
  <c r="KL22" i="70"/>
  <c r="KL23" i="70"/>
  <c r="KL24" i="70"/>
  <c r="KL25" i="70"/>
  <c r="KL26" i="70"/>
  <c r="KL27" i="70"/>
  <c r="KL28" i="70"/>
  <c r="KL29" i="70"/>
  <c r="KL30" i="70"/>
  <c r="KL31" i="70"/>
  <c r="KL32" i="70"/>
  <c r="KL33" i="70"/>
  <c r="KL35" i="70"/>
  <c r="KL36" i="70"/>
  <c r="KL37" i="70"/>
  <c r="KL16" i="70"/>
  <c r="JS8" i="70"/>
  <c r="JS9" i="70"/>
  <c r="JS10" i="70"/>
  <c r="JS11" i="70"/>
  <c r="JS12" i="70"/>
  <c r="JS13" i="70"/>
  <c r="JS14" i="70"/>
  <c r="JS15" i="70"/>
  <c r="JS16" i="70"/>
  <c r="JS17" i="70"/>
  <c r="JS18" i="70"/>
  <c r="JS19" i="70"/>
  <c r="JS20" i="70"/>
  <c r="JS21" i="70"/>
  <c r="JS22" i="70"/>
  <c r="JS23" i="70"/>
  <c r="JS24" i="70"/>
  <c r="JS25" i="70"/>
  <c r="JS26" i="70"/>
  <c r="JS27" i="70"/>
  <c r="JS28" i="70"/>
  <c r="JS29" i="70"/>
  <c r="JS30" i="70"/>
  <c r="JS31" i="70"/>
  <c r="JS32" i="70"/>
  <c r="JS33" i="70"/>
  <c r="JS34" i="70"/>
  <c r="JS35" i="70"/>
  <c r="JS36" i="70"/>
  <c r="JS37" i="70"/>
  <c r="JS7" i="70"/>
  <c r="JQ43" i="70"/>
  <c r="P23" i="21"/>
  <c r="O23" i="21"/>
  <c r="D237" i="59"/>
  <c r="BC7" i="62" l="1"/>
  <c r="L77" i="28"/>
  <c r="BC6" i="62"/>
  <c r="L75" i="28"/>
  <c r="S5" i="62"/>
  <c r="J32" i="21"/>
  <c r="K32" i="21"/>
  <c r="L32" i="21"/>
  <c r="Z6" i="117"/>
  <c r="N6" i="117"/>
  <c r="M6" i="117"/>
  <c r="N7" i="117" s="1"/>
  <c r="Z62" i="117" s="1"/>
  <c r="AA7" i="117"/>
  <c r="AA6" i="117"/>
  <c r="Z7" i="117"/>
  <c r="N32" i="21"/>
  <c r="O32" i="21"/>
  <c r="P32" i="21"/>
  <c r="Q32" i="21"/>
  <c r="M32" i="21"/>
  <c r="Q28" i="21"/>
  <c r="P30" i="21"/>
  <c r="K72" i="109"/>
  <c r="J72" i="109"/>
  <c r="J73" i="109" s="1"/>
  <c r="I72" i="109"/>
  <c r="H72" i="109"/>
  <c r="H73" i="109" s="1"/>
  <c r="G72" i="109"/>
  <c r="F72" i="109"/>
  <c r="F73" i="109" s="1"/>
  <c r="E72" i="109"/>
  <c r="D72" i="109"/>
  <c r="D73" i="109" s="1"/>
  <c r="C72" i="109"/>
  <c r="B72" i="109"/>
  <c r="B73" i="109" s="1"/>
  <c r="M71" i="109"/>
  <c r="L71" i="109"/>
  <c r="M70" i="109"/>
  <c r="L70" i="109"/>
  <c r="M69" i="109"/>
  <c r="L69" i="109"/>
  <c r="M68" i="109"/>
  <c r="L68" i="109"/>
  <c r="M67" i="109"/>
  <c r="L67" i="109"/>
  <c r="M64" i="109"/>
  <c r="L64" i="109"/>
  <c r="M63" i="109"/>
  <c r="L63" i="109"/>
  <c r="M62" i="109"/>
  <c r="L62" i="109"/>
  <c r="M61" i="109"/>
  <c r="L61" i="109"/>
  <c r="M60" i="109"/>
  <c r="L60" i="109"/>
  <c r="M59" i="109"/>
  <c r="L59" i="109"/>
  <c r="M58" i="109"/>
  <c r="L58" i="109"/>
  <c r="M57" i="109"/>
  <c r="L57" i="109"/>
  <c r="M56" i="109"/>
  <c r="L56" i="109"/>
  <c r="M55" i="109"/>
  <c r="L55" i="109"/>
  <c r="M54" i="109"/>
  <c r="L54" i="109"/>
  <c r="M53" i="109"/>
  <c r="L53" i="109"/>
  <c r="M52" i="109"/>
  <c r="L52" i="109"/>
  <c r="M51" i="109"/>
  <c r="L51" i="109"/>
  <c r="M50" i="109"/>
  <c r="L50" i="109"/>
  <c r="M49" i="109"/>
  <c r="L49" i="109"/>
  <c r="M48" i="109"/>
  <c r="L48" i="109"/>
  <c r="M47" i="109"/>
  <c r="L47" i="109"/>
  <c r="L72" i="109" s="1"/>
  <c r="L73" i="109" s="1"/>
  <c r="M46" i="109"/>
  <c r="L46" i="109"/>
  <c r="M45" i="109"/>
  <c r="L45" i="109"/>
  <c r="M44" i="109"/>
  <c r="M72" i="109" s="1"/>
  <c r="L44" i="109"/>
  <c r="K35" i="109"/>
  <c r="J35" i="109"/>
  <c r="I35" i="109"/>
  <c r="H35" i="109"/>
  <c r="H36" i="109" s="1"/>
  <c r="G35" i="109"/>
  <c r="F35" i="109"/>
  <c r="E35" i="109"/>
  <c r="D35" i="109"/>
  <c r="C35" i="109"/>
  <c r="B35" i="109"/>
  <c r="M34" i="109"/>
  <c r="L34" i="109"/>
  <c r="M33" i="109"/>
  <c r="L33" i="109"/>
  <c r="M32" i="109"/>
  <c r="L32" i="109"/>
  <c r="M31" i="109"/>
  <c r="L31" i="109"/>
  <c r="M30" i="109"/>
  <c r="L30" i="109"/>
  <c r="M27" i="109"/>
  <c r="L27" i="109"/>
  <c r="M26" i="109"/>
  <c r="L26" i="109"/>
  <c r="M25" i="109"/>
  <c r="L25" i="109"/>
  <c r="M24" i="109"/>
  <c r="L24" i="109"/>
  <c r="M23" i="109"/>
  <c r="L23" i="109"/>
  <c r="M22" i="109"/>
  <c r="L22" i="109"/>
  <c r="M21" i="109"/>
  <c r="L21" i="109"/>
  <c r="M20" i="109"/>
  <c r="L20" i="109"/>
  <c r="M19" i="109"/>
  <c r="L19" i="109"/>
  <c r="M18" i="109"/>
  <c r="L18" i="109"/>
  <c r="M17" i="109"/>
  <c r="L17" i="109"/>
  <c r="M16" i="109"/>
  <c r="L16" i="109"/>
  <c r="M15" i="109"/>
  <c r="L15" i="109"/>
  <c r="M14" i="109"/>
  <c r="L14" i="109"/>
  <c r="M13" i="109"/>
  <c r="L13" i="109"/>
  <c r="M12" i="109"/>
  <c r="L12" i="109"/>
  <c r="M11" i="109"/>
  <c r="L11" i="109"/>
  <c r="M10" i="109"/>
  <c r="L10" i="109"/>
  <c r="M9" i="109"/>
  <c r="L9" i="109"/>
  <c r="M8" i="109"/>
  <c r="L8" i="109"/>
  <c r="M7" i="109"/>
  <c r="N258" i="59"/>
  <c r="M258" i="59"/>
  <c r="L258" i="59"/>
  <c r="K258" i="59"/>
  <c r="J258" i="59"/>
  <c r="I258" i="59"/>
  <c r="H258" i="59"/>
  <c r="F258" i="59"/>
  <c r="E258" i="59"/>
  <c r="D258" i="59"/>
  <c r="C258" i="59"/>
  <c r="N252" i="59"/>
  <c r="M252" i="59"/>
  <c r="L252" i="59"/>
  <c r="K252" i="59"/>
  <c r="J252" i="59"/>
  <c r="I252" i="59"/>
  <c r="H252" i="59"/>
  <c r="G252" i="59"/>
  <c r="F252" i="59"/>
  <c r="E252" i="59"/>
  <c r="E251" i="59"/>
  <c r="F251" i="59"/>
  <c r="G251" i="59"/>
  <c r="H251" i="59"/>
  <c r="I251" i="59"/>
  <c r="J251" i="59"/>
  <c r="K251" i="59"/>
  <c r="L251" i="59"/>
  <c r="M251" i="59"/>
  <c r="N251" i="59"/>
  <c r="D252" i="59"/>
  <c r="C252" i="59"/>
  <c r="C240" i="59"/>
  <c r="F241" i="59"/>
  <c r="E241" i="59"/>
  <c r="D241" i="59"/>
  <c r="C241" i="59"/>
  <c r="F240" i="59"/>
  <c r="E240" i="59"/>
  <c r="D240" i="59"/>
  <c r="C237" i="59"/>
  <c r="P236" i="59"/>
  <c r="O236" i="59"/>
  <c r="B236" i="59"/>
  <c r="P235" i="59"/>
  <c r="O235" i="59"/>
  <c r="M266" i="59" l="1"/>
  <c r="M270" i="59" s="1"/>
  <c r="Q237" i="59"/>
  <c r="BC5" i="62"/>
  <c r="L73" i="28"/>
  <c r="S9" i="62"/>
  <c r="G266" i="59"/>
  <c r="G267" i="59" s="1"/>
  <c r="O237" i="59"/>
  <c r="N266" i="59"/>
  <c r="Y62" i="117"/>
  <c r="Q30" i="21"/>
  <c r="F36" i="109"/>
  <c r="L35" i="109"/>
  <c r="M35" i="109"/>
  <c r="B36" i="109"/>
  <c r="J36" i="109"/>
  <c r="D36" i="109"/>
  <c r="H266" i="59"/>
  <c r="I266" i="59"/>
  <c r="C266" i="59"/>
  <c r="C270" i="59" s="1"/>
  <c r="K266" i="59"/>
  <c r="L266" i="59"/>
  <c r="J266" i="59"/>
  <c r="D266" i="59"/>
  <c r="E266" i="59"/>
  <c r="F266" i="59"/>
  <c r="F254" i="59"/>
  <c r="E254" i="59"/>
  <c r="P237" i="59"/>
  <c r="F270" i="59" l="1"/>
  <c r="F267" i="59"/>
  <c r="D270" i="59"/>
  <c r="D267" i="59"/>
  <c r="J270" i="59"/>
  <c r="L270" i="59"/>
  <c r="G270" i="59"/>
  <c r="E270" i="59"/>
  <c r="E267" i="59"/>
  <c r="H270" i="59"/>
  <c r="K270" i="59"/>
  <c r="I270" i="59"/>
  <c r="N270" i="59"/>
  <c r="L36" i="109"/>
  <c r="Y8" i="117"/>
  <c r="JP8" i="70"/>
  <c r="KM8" i="70" s="1"/>
  <c r="JP9" i="70"/>
  <c r="KM9" i="70" s="1"/>
  <c r="JP10" i="70"/>
  <c r="KM10" i="70" s="1"/>
  <c r="JP11" i="70"/>
  <c r="KM11" i="70" s="1"/>
  <c r="JP12" i="70"/>
  <c r="KM12" i="70" s="1"/>
  <c r="JP13" i="70"/>
  <c r="KM13" i="70" s="1"/>
  <c r="JP14" i="70"/>
  <c r="KM14" i="70" s="1"/>
  <c r="JP15" i="70"/>
  <c r="KM15" i="70" s="1"/>
  <c r="JP16" i="70"/>
  <c r="KM16" i="70" s="1"/>
  <c r="JP17" i="70"/>
  <c r="KM17" i="70" s="1"/>
  <c r="JP18" i="70"/>
  <c r="KM18" i="70" s="1"/>
  <c r="JP19" i="70"/>
  <c r="KM19" i="70" s="1"/>
  <c r="JP20" i="70"/>
  <c r="KM20" i="70" s="1"/>
  <c r="JP21" i="70"/>
  <c r="KM21" i="70" s="1"/>
  <c r="JP22" i="70"/>
  <c r="KM22" i="70" s="1"/>
  <c r="JP23" i="70"/>
  <c r="KM23" i="70" s="1"/>
  <c r="JP24" i="70"/>
  <c r="KM24" i="70" s="1"/>
  <c r="JP25" i="70"/>
  <c r="KM25" i="70" s="1"/>
  <c r="JP26" i="70"/>
  <c r="KM26" i="70" s="1"/>
  <c r="JP27" i="70"/>
  <c r="KM27" i="70" s="1"/>
  <c r="JP28" i="70"/>
  <c r="KM28" i="70" s="1"/>
  <c r="JP29" i="70"/>
  <c r="KM29" i="70" s="1"/>
  <c r="JP30" i="70"/>
  <c r="KM30" i="70" s="1"/>
  <c r="JP31" i="70"/>
  <c r="KM31" i="70" s="1"/>
  <c r="JP32" i="70"/>
  <c r="KM32" i="70" s="1"/>
  <c r="JP33" i="70"/>
  <c r="KM33" i="70" s="1"/>
  <c r="JP34" i="70"/>
  <c r="KM34" i="70" s="1"/>
  <c r="JP35" i="70"/>
  <c r="KM35" i="70" s="1"/>
  <c r="JP36" i="70"/>
  <c r="KM36" i="70" s="1"/>
  <c r="JP37" i="70"/>
  <c r="KM37" i="70" s="1"/>
  <c r="JP7" i="70"/>
  <c r="KM7" i="70" s="1"/>
  <c r="N226" i="59"/>
  <c r="M57" i="116" l="1"/>
  <c r="N57" i="116"/>
  <c r="O48" i="116"/>
  <c r="O49" i="116"/>
  <c r="O50" i="116"/>
  <c r="O51" i="116"/>
  <c r="O52" i="116"/>
  <c r="O42" i="116"/>
  <c r="O43" i="116"/>
  <c r="O44" i="116"/>
  <c r="O45" i="116"/>
  <c r="O41" i="116"/>
  <c r="O21" i="116"/>
  <c r="O23" i="116"/>
  <c r="O24" i="116"/>
  <c r="O25" i="116"/>
  <c r="O27" i="116"/>
  <c r="O28" i="116"/>
  <c r="O29" i="116"/>
  <c r="O31" i="116"/>
  <c r="O32" i="116"/>
  <c r="O33" i="116"/>
  <c r="O35" i="116"/>
  <c r="O36" i="116"/>
  <c r="O37" i="116"/>
  <c r="O20" i="116"/>
  <c r="O5" i="116"/>
  <c r="O6" i="116"/>
  <c r="O7" i="116"/>
  <c r="O8" i="116"/>
  <c r="O9" i="116"/>
  <c r="O10" i="116"/>
  <c r="O11" i="116"/>
  <c r="O12" i="116"/>
  <c r="O13" i="116"/>
  <c r="O14" i="116"/>
  <c r="O4" i="116"/>
  <c r="E6" i="126"/>
  <c r="D6" i="126"/>
  <c r="D13" i="126" s="1"/>
  <c r="E7" i="126"/>
  <c r="G13" i="126"/>
  <c r="F13" i="126"/>
  <c r="E13" i="126"/>
  <c r="G12" i="126"/>
  <c r="F12" i="126"/>
  <c r="D12" i="126"/>
  <c r="Q8" i="126"/>
  <c r="P7" i="126"/>
  <c r="P8" i="126" s="1"/>
  <c r="G7" i="126"/>
  <c r="P6" i="126"/>
  <c r="E11" i="125"/>
  <c r="G11" i="125" s="1"/>
  <c r="Q7" i="125"/>
  <c r="G7" i="125"/>
  <c r="P6" i="125"/>
  <c r="P7" i="125" s="1"/>
  <c r="E6" i="125"/>
  <c r="D6" i="125"/>
  <c r="D11" i="125" s="1"/>
  <c r="E12" i="125" s="1"/>
  <c r="P5" i="125"/>
  <c r="Y23" i="124"/>
  <c r="G27" i="124" s="1"/>
  <c r="I23" i="124"/>
  <c r="G23" i="124"/>
  <c r="N15" i="124"/>
  <c r="M15" i="124"/>
  <c r="G15" i="124"/>
  <c r="F15" i="124"/>
  <c r="E15" i="124"/>
  <c r="N14" i="124"/>
  <c r="M14" i="124"/>
  <c r="K14" i="124"/>
  <c r="G14" i="124"/>
  <c r="F14" i="124"/>
  <c r="E14" i="124"/>
  <c r="N13" i="124"/>
  <c r="M13" i="124"/>
  <c r="K13" i="124"/>
  <c r="J13" i="124"/>
  <c r="H13" i="124"/>
  <c r="G13" i="124"/>
  <c r="F13" i="124"/>
  <c r="E13" i="124"/>
  <c r="AC12" i="124"/>
  <c r="AA12" i="124"/>
  <c r="Y12" i="124"/>
  <c r="V12" i="124"/>
  <c r="J9" i="124"/>
  <c r="G9" i="124"/>
  <c r="F9" i="124"/>
  <c r="AC8" i="124"/>
  <c r="Y8" i="124"/>
  <c r="L5" i="116" s="1"/>
  <c r="V8" i="124"/>
  <c r="AA7" i="124"/>
  <c r="AB7" i="124" s="1"/>
  <c r="Z7" i="124"/>
  <c r="Y7" i="124"/>
  <c r="X7" i="124"/>
  <c r="X8" i="124" s="1"/>
  <c r="W7" i="124"/>
  <c r="V7" i="124"/>
  <c r="N7" i="124"/>
  <c r="AA6" i="124"/>
  <c r="AA8" i="124" s="1"/>
  <c r="Z6" i="124"/>
  <c r="Z12" i="124" s="1"/>
  <c r="Y6" i="124"/>
  <c r="X6" i="124"/>
  <c r="X12" i="124" s="1"/>
  <c r="W6" i="124"/>
  <c r="W8" i="124" s="1"/>
  <c r="W9" i="124" s="1"/>
  <c r="V6" i="124"/>
  <c r="L6" i="124"/>
  <c r="K23" i="124" s="1"/>
  <c r="K27" i="124" s="1"/>
  <c r="K6" i="124"/>
  <c r="L7" i="124" s="1"/>
  <c r="J6" i="124"/>
  <c r="I6" i="124"/>
  <c r="I13" i="124" s="1"/>
  <c r="H6" i="124"/>
  <c r="H9" i="124" s="1"/>
  <c r="M14" i="123"/>
  <c r="AA13" i="123"/>
  <c r="Y13" i="123"/>
  <c r="W13" i="123"/>
  <c r="U13" i="123"/>
  <c r="N13" i="123"/>
  <c r="L13" i="123"/>
  <c r="J13" i="123"/>
  <c r="H13" i="123"/>
  <c r="G13" i="123"/>
  <c r="F13" i="123"/>
  <c r="E13" i="123"/>
  <c r="N9" i="123"/>
  <c r="J9" i="123"/>
  <c r="G9" i="123"/>
  <c r="F9" i="123"/>
  <c r="AA8" i="123"/>
  <c r="AA9" i="123" s="1"/>
  <c r="Y8" i="123"/>
  <c r="K11" i="116" s="1"/>
  <c r="W8" i="123"/>
  <c r="T8" i="123"/>
  <c r="Z7" i="123"/>
  <c r="Y7" i="123"/>
  <c r="X7" i="123"/>
  <c r="X13" i="123" s="1"/>
  <c r="W7" i="123"/>
  <c r="V7" i="123"/>
  <c r="U7" i="123"/>
  <c r="T7" i="123"/>
  <c r="M7" i="123"/>
  <c r="Z6" i="123"/>
  <c r="Z8" i="123" s="1"/>
  <c r="Y6" i="123"/>
  <c r="X6" i="123"/>
  <c r="X8" i="123" s="1"/>
  <c r="W6" i="123"/>
  <c r="V6" i="123"/>
  <c r="V13" i="123" s="1"/>
  <c r="U6" i="123"/>
  <c r="U8" i="123" s="1"/>
  <c r="U9" i="123" s="1"/>
  <c r="T6" i="123"/>
  <c r="T13" i="123" s="1"/>
  <c r="L6" i="123"/>
  <c r="K6" i="123"/>
  <c r="K7" i="123" s="1"/>
  <c r="J6" i="123"/>
  <c r="L9" i="123" s="1"/>
  <c r="I6" i="123"/>
  <c r="I7" i="123" s="1"/>
  <c r="H6" i="123"/>
  <c r="H9" i="123" s="1"/>
  <c r="S14" i="122"/>
  <c r="O14" i="122"/>
  <c r="H14" i="122"/>
  <c r="G14" i="122"/>
  <c r="F14" i="122"/>
  <c r="E14" i="122"/>
  <c r="D14" i="122"/>
  <c r="C14" i="122"/>
  <c r="S8" i="122"/>
  <c r="S10" i="122" s="1"/>
  <c r="R8" i="122"/>
  <c r="S9" i="122" s="1"/>
  <c r="P8" i="122"/>
  <c r="Q7" i="122"/>
  <c r="P7" i="122"/>
  <c r="O7" i="122"/>
  <c r="N7" i="122"/>
  <c r="G7" i="122"/>
  <c r="E7" i="122"/>
  <c r="Q6" i="122"/>
  <c r="Q14" i="122" s="1"/>
  <c r="Q15" i="122" s="1"/>
  <c r="P6" i="122"/>
  <c r="O6" i="122"/>
  <c r="O8" i="122" s="1"/>
  <c r="N6" i="122"/>
  <c r="N8" i="122" s="1"/>
  <c r="O9" i="122" s="1"/>
  <c r="D6" i="122"/>
  <c r="C7" i="122" s="1"/>
  <c r="C6" i="122"/>
  <c r="AD26" i="121"/>
  <c r="AC26" i="121"/>
  <c r="AB26" i="121"/>
  <c r="Z25" i="121"/>
  <c r="Y25" i="121"/>
  <c r="AA25" i="121" s="1"/>
  <c r="Z24" i="121"/>
  <c r="Y24" i="121"/>
  <c r="AA24" i="121" s="1"/>
  <c r="Z23" i="121"/>
  <c r="Y23" i="121"/>
  <c r="AA23" i="121" s="1"/>
  <c r="Z22" i="121"/>
  <c r="Z26" i="121" s="1"/>
  <c r="Y22" i="121"/>
  <c r="AA22" i="121" s="1"/>
  <c r="AE14" i="121"/>
  <c r="X14" i="121"/>
  <c r="W14" i="121"/>
  <c r="U14" i="121"/>
  <c r="N14" i="121"/>
  <c r="M14" i="121"/>
  <c r="K14" i="121"/>
  <c r="J14" i="121"/>
  <c r="I14" i="121"/>
  <c r="H14" i="121"/>
  <c r="G14" i="121"/>
  <c r="F14" i="121"/>
  <c r="E14" i="121"/>
  <c r="M11" i="121"/>
  <c r="L11" i="121"/>
  <c r="J11" i="121"/>
  <c r="G11" i="121"/>
  <c r="F11" i="121"/>
  <c r="AE9" i="121"/>
  <c r="Y9" i="121"/>
  <c r="Y10" i="121" s="1"/>
  <c r="X9" i="121"/>
  <c r="X10" i="121" s="1"/>
  <c r="W9" i="121"/>
  <c r="V9" i="121"/>
  <c r="V14" i="121" s="1"/>
  <c r="U9" i="121"/>
  <c r="T9" i="121"/>
  <c r="T14" i="121" s="1"/>
  <c r="AB7" i="121"/>
  <c r="X7" i="121"/>
  <c r="M7" i="121"/>
  <c r="K7" i="121"/>
  <c r="I7" i="121"/>
  <c r="AB6" i="121"/>
  <c r="AB9" i="121" s="1"/>
  <c r="X6" i="121"/>
  <c r="L6" i="121"/>
  <c r="I12" i="116" s="1"/>
  <c r="K6" i="121"/>
  <c r="K11" i="121" s="1"/>
  <c r="H6" i="121"/>
  <c r="H11" i="121" s="1"/>
  <c r="AA13" i="120"/>
  <c r="Y13" i="120"/>
  <c r="N13" i="120"/>
  <c r="M13" i="120"/>
  <c r="F13" i="120"/>
  <c r="AA12" i="120"/>
  <c r="Y12" i="120"/>
  <c r="N12" i="120"/>
  <c r="M12" i="120"/>
  <c r="J12" i="120"/>
  <c r="H12" i="120"/>
  <c r="G12" i="120"/>
  <c r="F12" i="120"/>
  <c r="AA8" i="120"/>
  <c r="AA17" i="120" s="1"/>
  <c r="Y8" i="120"/>
  <c r="Y24" i="120" s="1"/>
  <c r="Z7" i="120"/>
  <c r="X7" i="120"/>
  <c r="W7" i="120"/>
  <c r="V7" i="120"/>
  <c r="U7" i="120"/>
  <c r="T7" i="120"/>
  <c r="T12" i="120" s="1"/>
  <c r="Z6" i="120"/>
  <c r="X6" i="120"/>
  <c r="W6" i="120"/>
  <c r="V6" i="120"/>
  <c r="V12" i="120" s="1"/>
  <c r="U6" i="120"/>
  <c r="T6" i="120"/>
  <c r="L6" i="120"/>
  <c r="L12" i="120" s="1"/>
  <c r="K6" i="120"/>
  <c r="I6" i="120"/>
  <c r="AA13" i="119"/>
  <c r="Y13" i="119"/>
  <c r="N12" i="119"/>
  <c r="M12" i="119"/>
  <c r="L12" i="119"/>
  <c r="J12" i="119"/>
  <c r="H12" i="119"/>
  <c r="AA11" i="119"/>
  <c r="Y11" i="119"/>
  <c r="AA8" i="119"/>
  <c r="Y8" i="119"/>
  <c r="Y23" i="119" s="1"/>
  <c r="Y31" i="119" s="1"/>
  <c r="Z7" i="119"/>
  <c r="Z13" i="119" s="1"/>
  <c r="X7" i="119"/>
  <c r="W7" i="119"/>
  <c r="V7" i="119"/>
  <c r="U7" i="119"/>
  <c r="T7" i="119"/>
  <c r="Z6" i="119"/>
  <c r="X6" i="119"/>
  <c r="X8" i="119" s="1"/>
  <c r="W6" i="119"/>
  <c r="W11" i="119" s="1"/>
  <c r="V6" i="119"/>
  <c r="V11" i="119" s="1"/>
  <c r="U6" i="119"/>
  <c r="U8" i="119" s="1"/>
  <c r="T6" i="119"/>
  <c r="L6" i="119"/>
  <c r="K6" i="119"/>
  <c r="K12" i="119" s="1"/>
  <c r="H6" i="119"/>
  <c r="I6" i="119" s="1"/>
  <c r="I7" i="119" s="1"/>
  <c r="X28" i="119" s="1"/>
  <c r="G6" i="119"/>
  <c r="G12" i="119" s="1"/>
  <c r="F6" i="119"/>
  <c r="F11" i="119" s="1"/>
  <c r="Z14" i="118"/>
  <c r="V14" i="118"/>
  <c r="T14" i="118"/>
  <c r="M14" i="118"/>
  <c r="L14" i="118"/>
  <c r="L15" i="118" s="1"/>
  <c r="K14" i="118"/>
  <c r="H14" i="118"/>
  <c r="G14" i="118"/>
  <c r="W12" i="118"/>
  <c r="H9" i="118"/>
  <c r="G9" i="118"/>
  <c r="F9" i="118"/>
  <c r="E9" i="118"/>
  <c r="D9" i="118"/>
  <c r="Z8" i="118"/>
  <c r="T8" i="118"/>
  <c r="T9" i="118" s="1"/>
  <c r="S8" i="118"/>
  <c r="Y7" i="118"/>
  <c r="W7" i="118"/>
  <c r="V7" i="118"/>
  <c r="U7" i="118"/>
  <c r="T7" i="118"/>
  <c r="S7" i="118"/>
  <c r="Y6" i="118"/>
  <c r="Y8" i="118" s="1"/>
  <c r="F14" i="116" s="1"/>
  <c r="W6" i="118"/>
  <c r="W8" i="118" s="1"/>
  <c r="V6" i="118"/>
  <c r="V8" i="118" s="1"/>
  <c r="U6" i="118"/>
  <c r="U8" i="118" s="1"/>
  <c r="U9" i="118" s="1"/>
  <c r="T6" i="118"/>
  <c r="S6" i="118"/>
  <c r="S14" i="118" s="1"/>
  <c r="K6" i="118"/>
  <c r="J6" i="118"/>
  <c r="J14" i="118" s="1"/>
  <c r="J15" i="118" s="1"/>
  <c r="AA13" i="117"/>
  <c r="Y13" i="117"/>
  <c r="M13" i="117"/>
  <c r="I13" i="117"/>
  <c r="H13" i="117"/>
  <c r="G13" i="117"/>
  <c r="F13" i="117"/>
  <c r="E13" i="117"/>
  <c r="D13" i="117"/>
  <c r="I10" i="117"/>
  <c r="H10" i="117"/>
  <c r="G10" i="117"/>
  <c r="I9" i="117"/>
  <c r="H9" i="117"/>
  <c r="G9" i="117"/>
  <c r="AA8" i="117"/>
  <c r="X7" i="117"/>
  <c r="W7" i="117"/>
  <c r="V7" i="117"/>
  <c r="U7" i="117"/>
  <c r="T7" i="117"/>
  <c r="Z13" i="117"/>
  <c r="X6" i="117"/>
  <c r="W6" i="117"/>
  <c r="V6" i="117"/>
  <c r="U6" i="117"/>
  <c r="T6" i="117"/>
  <c r="L6" i="117"/>
  <c r="K6" i="117"/>
  <c r="J6" i="117"/>
  <c r="J10" i="117" s="1"/>
  <c r="N56" i="116"/>
  <c r="M56" i="116"/>
  <c r="J56" i="116"/>
  <c r="N49" i="116"/>
  <c r="M49" i="116"/>
  <c r="J49" i="116"/>
  <c r="N48" i="116"/>
  <c r="M48" i="116"/>
  <c r="J48" i="116"/>
  <c r="N45" i="116"/>
  <c r="N52" i="116" s="1"/>
  <c r="M45" i="116"/>
  <c r="M52" i="116" s="1"/>
  <c r="L45" i="116"/>
  <c r="L52" i="116" s="1"/>
  <c r="K45" i="116"/>
  <c r="K52" i="116" s="1"/>
  <c r="J45" i="116"/>
  <c r="J52" i="116" s="1"/>
  <c r="I45" i="116"/>
  <c r="I52" i="116" s="1"/>
  <c r="H45" i="116"/>
  <c r="H52" i="116" s="1"/>
  <c r="G45" i="116"/>
  <c r="G52" i="116" s="1"/>
  <c r="F45" i="116"/>
  <c r="F52" i="116" s="1"/>
  <c r="E45" i="116"/>
  <c r="E52" i="116" s="1"/>
  <c r="Q37" i="116"/>
  <c r="Q36" i="116"/>
  <c r="Q35" i="116"/>
  <c r="Q33" i="116"/>
  <c r="Q32" i="116"/>
  <c r="Q31" i="116"/>
  <c r="Q29" i="116"/>
  <c r="Q28" i="116"/>
  <c r="Q27" i="116"/>
  <c r="Q25" i="116"/>
  <c r="Q24" i="116"/>
  <c r="Q23" i="116"/>
  <c r="Q21" i="116"/>
  <c r="Q20" i="116"/>
  <c r="Q17" i="116"/>
  <c r="Q16" i="116"/>
  <c r="Q15" i="116"/>
  <c r="N13" i="116"/>
  <c r="M13" i="116"/>
  <c r="L13" i="116"/>
  <c r="J13" i="116"/>
  <c r="I13" i="116"/>
  <c r="F13" i="116"/>
  <c r="E13" i="116"/>
  <c r="N12" i="116"/>
  <c r="M12" i="116"/>
  <c r="L12" i="116"/>
  <c r="K12" i="116"/>
  <c r="J12" i="116"/>
  <c r="H12" i="116"/>
  <c r="G12" i="116"/>
  <c r="F12" i="116"/>
  <c r="G11" i="116"/>
  <c r="F11" i="116"/>
  <c r="E10" i="116"/>
  <c r="Q10" i="116" s="1"/>
  <c r="J9" i="116"/>
  <c r="I9" i="116"/>
  <c r="H9" i="116"/>
  <c r="G9" i="116"/>
  <c r="F9" i="116"/>
  <c r="L8" i="116"/>
  <c r="K8" i="116"/>
  <c r="J8" i="116"/>
  <c r="I8" i="116"/>
  <c r="H8" i="116"/>
  <c r="H56" i="116" s="1"/>
  <c r="G8" i="116"/>
  <c r="G56" i="116" s="1"/>
  <c r="F8" i="116"/>
  <c r="F57" i="116" s="1"/>
  <c r="I7" i="116"/>
  <c r="K6" i="116"/>
  <c r="I6" i="116"/>
  <c r="F6" i="116"/>
  <c r="E6" i="116"/>
  <c r="K5" i="116"/>
  <c r="I5" i="116"/>
  <c r="L4" i="116"/>
  <c r="L41" i="116" s="1"/>
  <c r="L48" i="116" s="1"/>
  <c r="K4" i="116"/>
  <c r="K41" i="116" s="1"/>
  <c r="K48" i="116" s="1"/>
  <c r="I4" i="116"/>
  <c r="I41" i="116" s="1"/>
  <c r="I48" i="116" s="1"/>
  <c r="H4" i="116"/>
  <c r="F4" i="116"/>
  <c r="E4" i="116"/>
  <c r="G7" i="116" l="1"/>
  <c r="X23" i="119"/>
  <c r="X31" i="119" s="1"/>
  <c r="Z11" i="119"/>
  <c r="H11" i="119"/>
  <c r="Z8" i="119"/>
  <c r="AA17" i="119"/>
  <c r="T11" i="119"/>
  <c r="U11" i="119"/>
  <c r="G13" i="116"/>
  <c r="L7" i="119"/>
  <c r="Z28" i="119" s="1"/>
  <c r="Y12" i="119"/>
  <c r="X12" i="119"/>
  <c r="Y33" i="120"/>
  <c r="H6" i="116"/>
  <c r="X30" i="120"/>
  <c r="U13" i="120"/>
  <c r="Z13" i="120"/>
  <c r="AA24" i="120"/>
  <c r="H11" i="116"/>
  <c r="H43" i="116" s="1"/>
  <c r="H50" i="116" s="1"/>
  <c r="W12" i="120"/>
  <c r="Z12" i="120"/>
  <c r="X8" i="120"/>
  <c r="U8" i="120"/>
  <c r="V8" i="120"/>
  <c r="V24" i="120" s="1"/>
  <c r="V33" i="120" s="1"/>
  <c r="U12" i="120"/>
  <c r="X13" i="120"/>
  <c r="H13" i="116"/>
  <c r="L7" i="120"/>
  <c r="T8" i="120"/>
  <c r="X12" i="120"/>
  <c r="AA12" i="119"/>
  <c r="AA23" i="119"/>
  <c r="AA31" i="119" s="1"/>
  <c r="U8" i="117"/>
  <c r="W13" i="117"/>
  <c r="K13" i="117"/>
  <c r="T8" i="117"/>
  <c r="V13" i="117"/>
  <c r="X13" i="117"/>
  <c r="Y21" i="117"/>
  <c r="Z21" i="117"/>
  <c r="Z49" i="117"/>
  <c r="Y36" i="117"/>
  <c r="Z36" i="117"/>
  <c r="M10" i="117"/>
  <c r="K9" i="117"/>
  <c r="L7" i="117"/>
  <c r="Z61" i="117" s="1"/>
  <c r="M9" i="117"/>
  <c r="U13" i="117"/>
  <c r="X8" i="117"/>
  <c r="V8" i="117"/>
  <c r="I55" i="116"/>
  <c r="G57" i="116"/>
  <c r="F44" i="116"/>
  <c r="F51" i="116" s="1"/>
  <c r="G43" i="116"/>
  <c r="G50" i="116" s="1"/>
  <c r="E12" i="126"/>
  <c r="Y9" i="124"/>
  <c r="X9" i="124"/>
  <c r="Q52" i="116"/>
  <c r="P52" i="116"/>
  <c r="I12" i="119"/>
  <c r="G6" i="116"/>
  <c r="I14" i="116"/>
  <c r="I44" i="116" s="1"/>
  <c r="I51" i="116" s="1"/>
  <c r="AB14" i="121"/>
  <c r="AB10" i="121"/>
  <c r="AE10" i="121"/>
  <c r="S15" i="122"/>
  <c r="AA23" i="124"/>
  <c r="I27" i="124" s="1"/>
  <c r="L11" i="116"/>
  <c r="M44" i="116"/>
  <c r="M51" i="116" s="1"/>
  <c r="V9" i="118"/>
  <c r="F5" i="116"/>
  <c r="F41" i="116" s="1"/>
  <c r="F48" i="116" s="1"/>
  <c r="Z9" i="123"/>
  <c r="K14" i="116"/>
  <c r="W9" i="118"/>
  <c r="F7" i="116"/>
  <c r="O10" i="122"/>
  <c r="J11" i="116"/>
  <c r="J43" i="116" s="1"/>
  <c r="J50" i="116" s="1"/>
  <c r="P13" i="126"/>
  <c r="Q13" i="126" s="1"/>
  <c r="N14" i="116"/>
  <c r="N44" i="116" s="1"/>
  <c r="N51" i="116" s="1"/>
  <c r="P12" i="126"/>
  <c r="Q12" i="126" s="1"/>
  <c r="K7" i="116"/>
  <c r="K42" i="116" s="1"/>
  <c r="K49" i="116" s="1"/>
  <c r="X9" i="123"/>
  <c r="Q9" i="122"/>
  <c r="P12" i="125"/>
  <c r="Q12" i="125" s="1"/>
  <c r="M14" i="116"/>
  <c r="P11" i="125"/>
  <c r="Q11" i="125" s="1"/>
  <c r="U14" i="118"/>
  <c r="Z12" i="119"/>
  <c r="K13" i="120"/>
  <c r="E7" i="125"/>
  <c r="W8" i="117"/>
  <c r="T13" i="117"/>
  <c r="T8" i="119"/>
  <c r="W8" i="120"/>
  <c r="I12" i="120"/>
  <c r="L13" i="120"/>
  <c r="N11" i="121"/>
  <c r="L14" i="121"/>
  <c r="Y14" i="121"/>
  <c r="Z8" i="124"/>
  <c r="L9" i="124"/>
  <c r="L13" i="124"/>
  <c r="L14" i="124"/>
  <c r="K10" i="117"/>
  <c r="Y26" i="121"/>
  <c r="AA26" i="121" s="1"/>
  <c r="I42" i="116"/>
  <c r="I49" i="116" s="1"/>
  <c r="P45" i="116"/>
  <c r="G4" i="116"/>
  <c r="E8" i="116"/>
  <c r="K9" i="116"/>
  <c r="K43" i="116" s="1"/>
  <c r="K50" i="116" s="1"/>
  <c r="E12" i="116"/>
  <c r="Q45" i="116"/>
  <c r="J9" i="117"/>
  <c r="W14" i="118"/>
  <c r="G11" i="119"/>
  <c r="W13" i="119"/>
  <c r="V8" i="123"/>
  <c r="Y9" i="123"/>
  <c r="Z13" i="123"/>
  <c r="AB6" i="124"/>
  <c r="N9" i="124"/>
  <c r="H23" i="124"/>
  <c r="F43" i="116"/>
  <c r="F50" i="116" s="1"/>
  <c r="H57" i="116"/>
  <c r="X11" i="119"/>
  <c r="Y14" i="118"/>
  <c r="V8" i="119"/>
  <c r="V12" i="119" s="1"/>
  <c r="X13" i="119"/>
  <c r="K12" i="120"/>
  <c r="U10" i="121"/>
  <c r="J7" i="124"/>
  <c r="W12" i="124"/>
  <c r="L9" i="116"/>
  <c r="L43" i="116" s="1"/>
  <c r="L50" i="116" s="1"/>
  <c r="I11" i="116"/>
  <c r="I56" i="116" s="1"/>
  <c r="F56" i="116"/>
  <c r="Z8" i="117"/>
  <c r="W8" i="119"/>
  <c r="Z8" i="120"/>
  <c r="V10" i="121"/>
  <c r="I14" i="123"/>
  <c r="W13" i="124"/>
  <c r="W10" i="121"/>
  <c r="K14" i="123"/>
  <c r="L6" i="116"/>
  <c r="K13" i="116"/>
  <c r="J13" i="117"/>
  <c r="Q8" i="122"/>
  <c r="F11" i="125"/>
  <c r="G12" i="125" s="1"/>
  <c r="G14" i="116" l="1"/>
  <c r="G44" i="116" s="1"/>
  <c r="G51" i="116" s="1"/>
  <c r="Z23" i="119"/>
  <c r="Z31" i="119" s="1"/>
  <c r="AA32" i="119" s="1"/>
  <c r="AA33" i="120"/>
  <c r="H5" i="116"/>
  <c r="H41" i="116" s="1"/>
  <c r="H48" i="116" s="1"/>
  <c r="W24" i="120"/>
  <c r="H7" i="116"/>
  <c r="H42" i="116" s="1"/>
  <c r="H49" i="116" s="1"/>
  <c r="X24" i="120"/>
  <c r="AA9" i="120"/>
  <c r="Z17" i="120"/>
  <c r="AA18" i="120" s="1"/>
  <c r="Z30" i="120"/>
  <c r="N8" i="120"/>
  <c r="H14" i="116"/>
  <c r="H44" i="116" s="1"/>
  <c r="H51" i="116" s="1"/>
  <c r="Z24" i="120"/>
  <c r="Z26" i="120" s="1"/>
  <c r="V9" i="117"/>
  <c r="X9" i="117"/>
  <c r="U9" i="117"/>
  <c r="E7" i="116"/>
  <c r="E42" i="116" s="1"/>
  <c r="X10" i="117"/>
  <c r="Z35" i="117"/>
  <c r="AA38" i="117" s="1"/>
  <c r="Z20" i="117"/>
  <c r="AA23" i="117" s="1"/>
  <c r="Y20" i="117"/>
  <c r="Y35" i="117"/>
  <c r="Z48" i="117"/>
  <c r="Y48" i="117" s="1"/>
  <c r="Y61" i="117"/>
  <c r="AA64" i="117"/>
  <c r="V10" i="117"/>
  <c r="Y49" i="117"/>
  <c r="I57" i="116"/>
  <c r="K57" i="116"/>
  <c r="K55" i="116"/>
  <c r="Z10" i="117"/>
  <c r="E14" i="116"/>
  <c r="E44" i="116" s="1"/>
  <c r="Z9" i="117"/>
  <c r="Y10" i="117"/>
  <c r="Y9" i="117"/>
  <c r="E11" i="116"/>
  <c r="Q11" i="116" s="1"/>
  <c r="AA10" i="117"/>
  <c r="Q8" i="116"/>
  <c r="W12" i="119"/>
  <c r="G5" i="116"/>
  <c r="G41" i="116" s="1"/>
  <c r="G48" i="116" s="1"/>
  <c r="Q4" i="116"/>
  <c r="K56" i="116"/>
  <c r="Z23" i="124"/>
  <c r="H27" i="124" s="1"/>
  <c r="Z9" i="124"/>
  <c r="L7" i="116"/>
  <c r="L42" i="116" s="1"/>
  <c r="L49" i="116" s="1"/>
  <c r="F55" i="116"/>
  <c r="Q9" i="116"/>
  <c r="Q12" i="116"/>
  <c r="AA9" i="117"/>
  <c r="K44" i="116"/>
  <c r="K51" i="116" s="1"/>
  <c r="F42" i="116"/>
  <c r="F49" i="116" s="1"/>
  <c r="H55" i="116"/>
  <c r="AB8" i="124"/>
  <c r="AB12" i="124"/>
  <c r="Q13" i="116"/>
  <c r="Q10" i="122"/>
  <c r="J14" i="116"/>
  <c r="V9" i="123"/>
  <c r="W9" i="123"/>
  <c r="W9" i="117"/>
  <c r="W10" i="117"/>
  <c r="E5" i="116"/>
  <c r="E55" i="116" s="1"/>
  <c r="AA9" i="124"/>
  <c r="G42" i="116"/>
  <c r="G49" i="116" s="1"/>
  <c r="Q6" i="116"/>
  <c r="I43" i="116"/>
  <c r="I50" i="116" s="1"/>
  <c r="X25" i="120" l="1"/>
  <c r="Y25" i="120"/>
  <c r="X33" i="120"/>
  <c r="W25" i="120"/>
  <c r="W33" i="120"/>
  <c r="Z33" i="120"/>
  <c r="Z25" i="120"/>
  <c r="AA25" i="120"/>
  <c r="AA51" i="117"/>
  <c r="R6" i="116"/>
  <c r="E57" i="116"/>
  <c r="E56" i="116"/>
  <c r="G55" i="116"/>
  <c r="L56" i="116"/>
  <c r="L55" i="116"/>
  <c r="Q7" i="116"/>
  <c r="R11" i="116" s="1"/>
  <c r="R13" i="116"/>
  <c r="R15" i="116"/>
  <c r="Q5" i="116"/>
  <c r="E41" i="116"/>
  <c r="E51" i="116"/>
  <c r="J57" i="116"/>
  <c r="J44" i="116"/>
  <c r="J51" i="116" s="1"/>
  <c r="L14" i="116"/>
  <c r="Q14" i="116" s="1"/>
  <c r="R17" i="116" s="1"/>
  <c r="AC9" i="124"/>
  <c r="AB9" i="124"/>
  <c r="S8" i="116"/>
  <c r="R12" i="116"/>
  <c r="S12" i="116"/>
  <c r="R16" i="116"/>
  <c r="R8" i="116"/>
  <c r="E43" i="116"/>
  <c r="P42" i="116"/>
  <c r="Q42" i="116"/>
  <c r="E49" i="116"/>
  <c r="AA34" i="120" l="1"/>
  <c r="Z35" i="120"/>
  <c r="Z34" i="120"/>
  <c r="X34" i="120"/>
  <c r="Y34" i="120"/>
  <c r="Y35" i="120"/>
  <c r="AA35" i="120"/>
  <c r="R9" i="116"/>
  <c r="R7" i="116"/>
  <c r="P43" i="116"/>
  <c r="Q43" i="116"/>
  <c r="R43" i="116" s="1"/>
  <c r="E50" i="116"/>
  <c r="L44" i="116"/>
  <c r="L57" i="116"/>
  <c r="E48" i="116"/>
  <c r="Q41" i="116"/>
  <c r="R42" i="116" s="1"/>
  <c r="P41" i="116"/>
  <c r="Q49" i="116"/>
  <c r="P49" i="116"/>
  <c r="T12" i="116"/>
  <c r="R14" i="116"/>
  <c r="L51" i="116" l="1"/>
  <c r="Q44" i="116"/>
  <c r="P44" i="116"/>
  <c r="Q50" i="116"/>
  <c r="R50" i="116" s="1"/>
  <c r="P50" i="116"/>
  <c r="P48" i="116"/>
  <c r="Q48" i="116"/>
  <c r="R49" i="116" s="1"/>
  <c r="Q51" i="116" l="1"/>
  <c r="P51" i="116"/>
  <c r="R44" i="116"/>
  <c r="R45" i="116"/>
  <c r="KC6" i="70"/>
  <c r="GB43" i="70"/>
  <c r="GC43" i="70"/>
  <c r="GD43" i="70"/>
  <c r="GE43" i="70"/>
  <c r="GF43" i="70"/>
  <c r="GG43" i="70"/>
  <c r="GH43" i="70"/>
  <c r="GI43" i="70"/>
  <c r="GJ43" i="70"/>
  <c r="GK43" i="70"/>
  <c r="GL43" i="70"/>
  <c r="GM43" i="70"/>
  <c r="GB38" i="70"/>
  <c r="IW8" i="70"/>
  <c r="IX8" i="70"/>
  <c r="IY8" i="70"/>
  <c r="IZ8" i="70"/>
  <c r="IW9" i="70"/>
  <c r="IX9" i="70"/>
  <c r="IY9" i="70"/>
  <c r="IZ9" i="70"/>
  <c r="IW10" i="70"/>
  <c r="IX10" i="70"/>
  <c r="IY10" i="70"/>
  <c r="IZ10" i="70"/>
  <c r="IW11" i="70"/>
  <c r="IX11" i="70"/>
  <c r="IY11" i="70"/>
  <c r="IZ11" i="70"/>
  <c r="IW12" i="70"/>
  <c r="IX12" i="70"/>
  <c r="IY12" i="70"/>
  <c r="IZ12" i="70"/>
  <c r="IW13" i="70"/>
  <c r="IX13" i="70"/>
  <c r="IY13" i="70"/>
  <c r="IZ13" i="70"/>
  <c r="IW14" i="70"/>
  <c r="IX14" i="70"/>
  <c r="IY14" i="70"/>
  <c r="IZ14" i="70"/>
  <c r="IW15" i="70"/>
  <c r="IX15" i="70"/>
  <c r="IY15" i="70"/>
  <c r="IZ15" i="70"/>
  <c r="IW16" i="70"/>
  <c r="IX16" i="70"/>
  <c r="IY16" i="70"/>
  <c r="IZ16" i="70"/>
  <c r="IW17" i="70"/>
  <c r="IX17" i="70"/>
  <c r="IY17" i="70"/>
  <c r="IZ17" i="70"/>
  <c r="IW18" i="70"/>
  <c r="IX18" i="70"/>
  <c r="IY18" i="70"/>
  <c r="IZ18" i="70"/>
  <c r="IW19" i="70"/>
  <c r="IX19" i="70"/>
  <c r="IY19" i="70"/>
  <c r="IZ19" i="70"/>
  <c r="IW20" i="70"/>
  <c r="IX20" i="70"/>
  <c r="IY20" i="70"/>
  <c r="IZ20" i="70"/>
  <c r="IW21" i="70"/>
  <c r="IX21" i="70"/>
  <c r="IY21" i="70"/>
  <c r="IZ21" i="70"/>
  <c r="IW22" i="70"/>
  <c r="IX22" i="70"/>
  <c r="IY22" i="70"/>
  <c r="IZ22" i="70"/>
  <c r="IW23" i="70"/>
  <c r="IX23" i="70"/>
  <c r="IY23" i="70"/>
  <c r="IZ23" i="70"/>
  <c r="IW24" i="70"/>
  <c r="IX24" i="70"/>
  <c r="IY24" i="70"/>
  <c r="IZ24" i="70"/>
  <c r="IW25" i="70"/>
  <c r="IX25" i="70"/>
  <c r="IY25" i="70"/>
  <c r="IZ25" i="70"/>
  <c r="IW26" i="70"/>
  <c r="IX26" i="70"/>
  <c r="IY26" i="70"/>
  <c r="IZ26" i="70"/>
  <c r="IW27" i="70"/>
  <c r="IX27" i="70"/>
  <c r="IY27" i="70"/>
  <c r="IZ27" i="70"/>
  <c r="IW28" i="70"/>
  <c r="IX28" i="70"/>
  <c r="IY28" i="70"/>
  <c r="IZ28" i="70"/>
  <c r="IW29" i="70"/>
  <c r="IX29" i="70"/>
  <c r="IY29" i="70"/>
  <c r="IZ29" i="70"/>
  <c r="IW30" i="70"/>
  <c r="IX30" i="70"/>
  <c r="IY30" i="70"/>
  <c r="IZ30" i="70"/>
  <c r="IW31" i="70"/>
  <c r="IX31" i="70"/>
  <c r="IY31" i="70"/>
  <c r="IZ31" i="70"/>
  <c r="IW32" i="70"/>
  <c r="IX32" i="70"/>
  <c r="IY32" i="70"/>
  <c r="IZ32" i="70"/>
  <c r="IW33" i="70"/>
  <c r="IX33" i="70"/>
  <c r="IY33" i="70"/>
  <c r="IZ33" i="70"/>
  <c r="IW34" i="70"/>
  <c r="IX34" i="70"/>
  <c r="IY34" i="70"/>
  <c r="IZ34" i="70"/>
  <c r="IW35" i="70"/>
  <c r="IX35" i="70"/>
  <c r="IY35" i="70"/>
  <c r="IZ35" i="70"/>
  <c r="IW36" i="70"/>
  <c r="IX36" i="70"/>
  <c r="IY36" i="70"/>
  <c r="IZ36" i="70"/>
  <c r="IW37" i="70"/>
  <c r="IX37" i="70"/>
  <c r="IY37" i="70"/>
  <c r="IZ37" i="70"/>
  <c r="IZ7" i="70"/>
  <c r="IY7" i="70"/>
  <c r="IY43" i="70" s="1"/>
  <c r="IX7" i="70"/>
  <c r="IW7" i="70"/>
  <c r="JV18" i="70"/>
  <c r="KF18" i="70" s="1"/>
  <c r="JV34" i="70"/>
  <c r="IV34" i="70"/>
  <c r="P16" i="21"/>
  <c r="AJ4" i="21"/>
  <c r="Q15" i="21"/>
  <c r="GM38" i="70" s="1"/>
  <c r="GM39" i="70" s="1"/>
  <c r="Q14" i="21"/>
  <c r="GL38" i="70" s="1"/>
  <c r="Q13" i="21"/>
  <c r="GK38" i="70" s="1"/>
  <c r="GK39" i="70" s="1"/>
  <c r="Q12" i="21"/>
  <c r="GJ38" i="70" s="1"/>
  <c r="GJ39" i="70" s="1"/>
  <c r="Q11" i="21"/>
  <c r="GI38" i="70" s="1"/>
  <c r="GI39" i="70" s="1"/>
  <c r="Q10" i="21"/>
  <c r="AJ10" i="21" s="1"/>
  <c r="Q9" i="21"/>
  <c r="AJ9" i="21" s="1"/>
  <c r="AN8" i="21"/>
  <c r="GC38" i="70"/>
  <c r="GC39" i="70" s="1"/>
  <c r="AJ13" i="21"/>
  <c r="AK13" i="21" s="1"/>
  <c r="AJ5" i="21"/>
  <c r="G21" i="21"/>
  <c r="M226" i="59"/>
  <c r="N21" i="115"/>
  <c r="M21" i="115"/>
  <c r="L21" i="115"/>
  <c r="K21" i="115"/>
  <c r="J21" i="115"/>
  <c r="I21" i="115"/>
  <c r="H21" i="115"/>
  <c r="G21" i="115"/>
  <c r="F21" i="115"/>
  <c r="E21" i="115"/>
  <c r="D21" i="115"/>
  <c r="C21" i="115"/>
  <c r="N11" i="115"/>
  <c r="M11" i="115"/>
  <c r="L11" i="115"/>
  <c r="K11" i="115"/>
  <c r="J11" i="115"/>
  <c r="I11" i="115"/>
  <c r="H11" i="115"/>
  <c r="G11" i="115"/>
  <c r="E11" i="115"/>
  <c r="D11" i="115"/>
  <c r="C11" i="115"/>
  <c r="N82" i="114"/>
  <c r="M82" i="114"/>
  <c r="L82" i="114"/>
  <c r="K82" i="114"/>
  <c r="J82" i="114"/>
  <c r="I82" i="114"/>
  <c r="H82" i="114"/>
  <c r="G82" i="114"/>
  <c r="F82" i="114"/>
  <c r="E82" i="114"/>
  <c r="D82" i="114"/>
  <c r="C82" i="114"/>
  <c r="N75" i="114"/>
  <c r="M75" i="114"/>
  <c r="L75" i="114"/>
  <c r="K75" i="114"/>
  <c r="J75" i="114"/>
  <c r="I75" i="114"/>
  <c r="H75" i="114"/>
  <c r="G75" i="114"/>
  <c r="F75" i="114"/>
  <c r="E75" i="114"/>
  <c r="D75" i="114"/>
  <c r="C75" i="114"/>
  <c r="K66" i="114"/>
  <c r="J66" i="114"/>
  <c r="I66" i="114"/>
  <c r="H66" i="114"/>
  <c r="F66" i="114"/>
  <c r="E66" i="114"/>
  <c r="D66" i="114"/>
  <c r="C66" i="114"/>
  <c r="N59" i="114"/>
  <c r="N58" i="114"/>
  <c r="N66" i="114"/>
  <c r="M59" i="114"/>
  <c r="L59" i="114"/>
  <c r="K59" i="114"/>
  <c r="J59" i="114"/>
  <c r="I59" i="114"/>
  <c r="H59" i="114"/>
  <c r="G59" i="114"/>
  <c r="M58" i="114"/>
  <c r="M66" i="114"/>
  <c r="L58" i="114"/>
  <c r="L66" i="114"/>
  <c r="K58" i="114"/>
  <c r="J58" i="114"/>
  <c r="I58" i="114"/>
  <c r="H58" i="114"/>
  <c r="G58" i="114"/>
  <c r="G66" i="114"/>
  <c r="H52" i="114"/>
  <c r="N47" i="114"/>
  <c r="M47" i="114"/>
  <c r="L47" i="114"/>
  <c r="K47" i="114"/>
  <c r="J47" i="114"/>
  <c r="I47" i="114"/>
  <c r="H47" i="114"/>
  <c r="G47" i="114"/>
  <c r="F47" i="114"/>
  <c r="E47" i="114"/>
  <c r="D47" i="114"/>
  <c r="N44" i="114"/>
  <c r="N43" i="114"/>
  <c r="M44" i="114"/>
  <c r="M43" i="114"/>
  <c r="M52" i="114"/>
  <c r="L44" i="114"/>
  <c r="L43" i="114"/>
  <c r="L52" i="114"/>
  <c r="K44" i="114"/>
  <c r="K43" i="114"/>
  <c r="K52" i="114"/>
  <c r="J44" i="114"/>
  <c r="I44" i="114"/>
  <c r="H44" i="114"/>
  <c r="G44" i="114"/>
  <c r="F44" i="114"/>
  <c r="F43" i="114"/>
  <c r="F52" i="114"/>
  <c r="E44" i="114"/>
  <c r="E43" i="114"/>
  <c r="E52" i="114"/>
  <c r="D44" i="114"/>
  <c r="D43" i="114"/>
  <c r="D52" i="114"/>
  <c r="C44" i="114"/>
  <c r="C43" i="114"/>
  <c r="C52" i="114"/>
  <c r="J43" i="114"/>
  <c r="J52" i="114"/>
  <c r="I43" i="114"/>
  <c r="I52" i="114"/>
  <c r="H43" i="114"/>
  <c r="G43" i="114"/>
  <c r="G52" i="114"/>
  <c r="M36" i="114"/>
  <c r="L36" i="114"/>
  <c r="K36" i="114"/>
  <c r="J36" i="114"/>
  <c r="I36" i="114"/>
  <c r="H36" i="114"/>
  <c r="G36" i="114"/>
  <c r="F36" i="114"/>
  <c r="E36" i="114"/>
  <c r="D36" i="114"/>
  <c r="C36" i="114"/>
  <c r="N36" i="114"/>
  <c r="M35" i="114"/>
  <c r="K35" i="114"/>
  <c r="J35" i="114"/>
  <c r="F35" i="114"/>
  <c r="E35" i="114"/>
  <c r="D35" i="114"/>
  <c r="C35" i="114"/>
  <c r="M34" i="114"/>
  <c r="L34" i="114"/>
  <c r="K34" i="114"/>
  <c r="J34" i="114"/>
  <c r="I34" i="114"/>
  <c r="H34" i="114"/>
  <c r="G34" i="114"/>
  <c r="F34" i="114"/>
  <c r="E34" i="114"/>
  <c r="D34" i="114"/>
  <c r="C34" i="114"/>
  <c r="N34" i="114"/>
  <c r="K33" i="114"/>
  <c r="J33" i="114"/>
  <c r="J27" i="114"/>
  <c r="J37" i="114"/>
  <c r="F33" i="114"/>
  <c r="D33" i="114"/>
  <c r="C33" i="114"/>
  <c r="M32" i="114"/>
  <c r="M33" i="114"/>
  <c r="K32" i="114"/>
  <c r="J32" i="114"/>
  <c r="I32" i="114"/>
  <c r="I33" i="114"/>
  <c r="H32" i="114"/>
  <c r="H35" i="114"/>
  <c r="G32" i="114"/>
  <c r="G33" i="114"/>
  <c r="F32" i="114"/>
  <c r="F26" i="114"/>
  <c r="F20" i="114"/>
  <c r="E32" i="114"/>
  <c r="E26" i="114"/>
  <c r="E20" i="114"/>
  <c r="D32" i="114"/>
  <c r="C32" i="114"/>
  <c r="M30" i="114"/>
  <c r="L30" i="114"/>
  <c r="L28" i="114"/>
  <c r="M29" i="114"/>
  <c r="M28" i="114"/>
  <c r="K28" i="114"/>
  <c r="K27" i="114"/>
  <c r="K37" i="114"/>
  <c r="J28" i="114"/>
  <c r="I28" i="114"/>
  <c r="H28" i="114"/>
  <c r="G28" i="114"/>
  <c r="F28" i="114"/>
  <c r="E28" i="114"/>
  <c r="D28" i="114"/>
  <c r="D27" i="114"/>
  <c r="C28" i="114"/>
  <c r="C27" i="114"/>
  <c r="C37" i="114"/>
  <c r="F27" i="114"/>
  <c r="F37" i="114"/>
  <c r="K26" i="114"/>
  <c r="K20" i="114"/>
  <c r="J26" i="114"/>
  <c r="J20" i="114"/>
  <c r="I26" i="114"/>
  <c r="I20" i="114"/>
  <c r="D26" i="114"/>
  <c r="D20" i="114"/>
  <c r="C26" i="114"/>
  <c r="C20" i="114"/>
  <c r="N20" i="114"/>
  <c r="N11" i="114"/>
  <c r="M11" i="114"/>
  <c r="L11" i="114"/>
  <c r="K11" i="114"/>
  <c r="J11" i="114"/>
  <c r="I11" i="114"/>
  <c r="H11" i="114"/>
  <c r="G11" i="114"/>
  <c r="E11" i="114"/>
  <c r="D11" i="114"/>
  <c r="C11" i="114"/>
  <c r="N37" i="114"/>
  <c r="N52" i="114"/>
  <c r="D37" i="114"/>
  <c r="M27" i="114"/>
  <c r="M37" i="114"/>
  <c r="M26" i="114"/>
  <c r="M20" i="114"/>
  <c r="G26" i="114"/>
  <c r="G20" i="114"/>
  <c r="H33" i="114"/>
  <c r="H27" i="114"/>
  <c r="H37" i="114"/>
  <c r="I35" i="114"/>
  <c r="I27" i="114"/>
  <c r="I37" i="114"/>
  <c r="H26" i="114"/>
  <c r="H20" i="114"/>
  <c r="L32" i="114"/>
  <c r="E33" i="114"/>
  <c r="E27" i="114"/>
  <c r="E37" i="114"/>
  <c r="G35" i="114"/>
  <c r="G27" i="114"/>
  <c r="G37" i="114"/>
  <c r="N35" i="114"/>
  <c r="L26" i="114"/>
  <c r="L20" i="114"/>
  <c r="L35" i="114"/>
  <c r="L33" i="114"/>
  <c r="L27" i="114"/>
  <c r="L37" i="114"/>
  <c r="AH27" i="62"/>
  <c r="X18" i="62"/>
  <c r="Y18" i="62"/>
  <c r="AA18" i="62"/>
  <c r="AB18" i="62"/>
  <c r="AC18" i="62"/>
  <c r="AD18" i="62"/>
  <c r="AE18" i="62"/>
  <c r="AF18" i="62"/>
  <c r="AG18" i="62"/>
  <c r="AH18" i="62"/>
  <c r="W18" i="62"/>
  <c r="O16" i="21"/>
  <c r="AR5" i="21" s="1"/>
  <c r="JL7" i="70"/>
  <c r="JL8" i="70"/>
  <c r="JL9" i="70"/>
  <c r="JL10" i="70"/>
  <c r="JL11" i="70"/>
  <c r="JL12" i="70"/>
  <c r="JL13" i="70"/>
  <c r="JL14" i="70"/>
  <c r="KG14" i="70" s="1"/>
  <c r="JL16" i="70"/>
  <c r="JL18" i="70"/>
  <c r="JL19" i="70"/>
  <c r="JL21" i="70"/>
  <c r="JL22" i="70"/>
  <c r="JL25" i="70"/>
  <c r="JM7" i="70"/>
  <c r="KG7" i="70" s="1"/>
  <c r="JM8" i="70"/>
  <c r="JM9" i="70"/>
  <c r="JM10" i="70"/>
  <c r="JM11" i="70"/>
  <c r="JM12" i="70"/>
  <c r="KH12" i="70" s="1"/>
  <c r="JM13" i="70"/>
  <c r="JM14" i="70"/>
  <c r="JM16" i="70"/>
  <c r="KH16" i="70" s="1"/>
  <c r="JM18" i="70"/>
  <c r="JM19" i="70"/>
  <c r="JM21" i="70"/>
  <c r="JM22" i="70"/>
  <c r="JM25" i="70"/>
  <c r="EV7" i="70"/>
  <c r="EW7" i="70"/>
  <c r="JN8" i="70"/>
  <c r="KI8" i="70" s="1"/>
  <c r="JN9" i="70"/>
  <c r="KH9" i="70" s="1"/>
  <c r="JN10" i="70"/>
  <c r="JN11" i="70"/>
  <c r="JN12" i="70"/>
  <c r="KJ12" i="70" s="1"/>
  <c r="JN13" i="70"/>
  <c r="JN14" i="70"/>
  <c r="JN16" i="70"/>
  <c r="JN18" i="70"/>
  <c r="KJ18" i="70" s="1"/>
  <c r="JN19" i="70"/>
  <c r="KI19" i="70" s="1"/>
  <c r="JN21" i="70"/>
  <c r="JN22" i="70"/>
  <c r="JN25" i="70"/>
  <c r="JO7" i="70"/>
  <c r="JO8" i="70"/>
  <c r="JV8" i="70" s="1"/>
  <c r="KF8" i="70" s="1"/>
  <c r="JO9" i="70"/>
  <c r="KK9" i="70" s="1"/>
  <c r="JO10" i="70"/>
  <c r="KK10" i="70" s="1"/>
  <c r="JO11" i="70"/>
  <c r="KK11" i="70" s="1"/>
  <c r="JO12" i="70"/>
  <c r="JV12" i="70" s="1"/>
  <c r="JO13" i="70"/>
  <c r="JV13" i="70" s="1"/>
  <c r="JO14" i="70"/>
  <c r="JO16" i="70"/>
  <c r="JO18" i="70"/>
  <c r="JO19" i="70"/>
  <c r="JV19" i="70" s="1"/>
  <c r="JO21" i="70"/>
  <c r="JV21" i="70" s="1"/>
  <c r="JO22" i="70"/>
  <c r="KK22" i="70" s="1"/>
  <c r="JO25" i="70"/>
  <c r="JK7" i="70"/>
  <c r="JK8" i="70"/>
  <c r="JK9" i="70"/>
  <c r="JK10" i="70"/>
  <c r="JK11" i="70"/>
  <c r="JK12" i="70"/>
  <c r="JK13" i="70"/>
  <c r="JK14" i="70"/>
  <c r="JK16" i="70"/>
  <c r="JK18" i="70"/>
  <c r="JK19" i="70"/>
  <c r="JK21" i="70"/>
  <c r="JK22" i="70"/>
  <c r="JK25" i="70"/>
  <c r="L226" i="59"/>
  <c r="K226" i="59"/>
  <c r="B225" i="59"/>
  <c r="K138" i="28"/>
  <c r="K137" i="28"/>
  <c r="K135" i="28"/>
  <c r="V121" i="28"/>
  <c r="V124" i="28"/>
  <c r="V125" i="28"/>
  <c r="V126" i="28"/>
  <c r="V127" i="28"/>
  <c r="V128" i="28"/>
  <c r="V129" i="28"/>
  <c r="V130" i="28"/>
  <c r="V131" i="28"/>
  <c r="V132" i="28"/>
  <c r="V133" i="28"/>
  <c r="V134" i="28"/>
  <c r="V135" i="28"/>
  <c r="V136" i="28"/>
  <c r="V137" i="28"/>
  <c r="V140" i="28"/>
  <c r="V141" i="28"/>
  <c r="V120" i="28"/>
  <c r="K128" i="28"/>
  <c r="K127" i="28"/>
  <c r="K126" i="28"/>
  <c r="K125" i="28"/>
  <c r="J121" i="28"/>
  <c r="K121" i="28"/>
  <c r="AH12" i="21"/>
  <c r="AH11" i="21"/>
  <c r="AH6" i="21"/>
  <c r="AH7" i="21"/>
  <c r="AN7" i="21" s="1"/>
  <c r="AH9" i="21"/>
  <c r="AH10" i="21"/>
  <c r="AY16" i="21"/>
  <c r="J226" i="59"/>
  <c r="J88" i="28"/>
  <c r="K88" i="28"/>
  <c r="J89" i="28"/>
  <c r="K89" i="28"/>
  <c r="J90" i="28"/>
  <c r="K90" i="28"/>
  <c r="J87" i="28"/>
  <c r="K87" i="28"/>
  <c r="J83" i="28"/>
  <c r="K83" i="28"/>
  <c r="J84" i="28"/>
  <c r="K84" i="28"/>
  <c r="J85" i="28"/>
  <c r="K85" i="28"/>
  <c r="J86" i="28"/>
  <c r="K86" i="28"/>
  <c r="J79" i="28"/>
  <c r="K79" i="28"/>
  <c r="J77" i="28"/>
  <c r="K77" i="28"/>
  <c r="J75" i="28"/>
  <c r="K75" i="28"/>
  <c r="K73" i="28"/>
  <c r="D32" i="75" s="1"/>
  <c r="J73" i="28"/>
  <c r="D29" i="75" s="1"/>
  <c r="AD40" i="21"/>
  <c r="AE40" i="21"/>
  <c r="AE53" i="21" s="1"/>
  <c r="AF40" i="21"/>
  <c r="AF53" i="21" s="1"/>
  <c r="I226" i="59"/>
  <c r="F36" i="97"/>
  <c r="F39" i="97" s="1"/>
  <c r="F54" i="97" s="1"/>
  <c r="H32" i="97"/>
  <c r="H31" i="97"/>
  <c r="H30" i="97"/>
  <c r="H29" i="97"/>
  <c r="H28" i="97"/>
  <c r="H10" i="97"/>
  <c r="H9" i="97"/>
  <c r="H8" i="97"/>
  <c r="H7" i="97"/>
  <c r="H6" i="97"/>
  <c r="P21" i="21"/>
  <c r="AZ6" i="62"/>
  <c r="BA6" i="62"/>
  <c r="BB6" i="62"/>
  <c r="AZ7" i="62"/>
  <c r="BA7" i="62"/>
  <c r="BB7" i="62"/>
  <c r="AZ8" i="62"/>
  <c r="BA8" i="62"/>
  <c r="BB8" i="62"/>
  <c r="BA5" i="62"/>
  <c r="BB5" i="62"/>
  <c r="BC11" i="62" s="1"/>
  <c r="AZ5" i="62"/>
  <c r="Q9" i="62"/>
  <c r="R9" i="62"/>
  <c r="F11" i="48"/>
  <c r="H226" i="59"/>
  <c r="B212" i="59"/>
  <c r="B213" i="59" s="1"/>
  <c r="AD16" i="21"/>
  <c r="FQ85" i="110"/>
  <c r="FQ86"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c r="IQ90" i="110"/>
  <c r="IP90" i="110"/>
  <c r="IO90" i="110"/>
  <c r="IO92" i="110"/>
  <c r="IN90" i="110"/>
  <c r="IN91" i="110"/>
  <c r="IM90" i="110"/>
  <c r="IL90" i="110"/>
  <c r="IM92" i="110"/>
  <c r="IK90" i="110"/>
  <c r="IK91" i="110"/>
  <c r="HI90" i="110"/>
  <c r="HI92" i="110"/>
  <c r="HH90" i="110"/>
  <c r="HH92" i="110"/>
  <c r="HF90" i="110"/>
  <c r="HE90" i="110"/>
  <c r="HE92" i="110"/>
  <c r="HD90" i="110"/>
  <c r="HD92" i="110"/>
  <c r="HC90" i="110"/>
  <c r="HB90" i="110"/>
  <c r="HA90" i="110"/>
  <c r="HA92" i="110"/>
  <c r="GZ90" i="110"/>
  <c r="GZ92" i="110"/>
  <c r="GY90" i="110"/>
  <c r="GY92" i="110"/>
  <c r="GX90" i="110"/>
  <c r="GW90" i="110"/>
  <c r="GW92" i="110"/>
  <c r="GV90" i="110"/>
  <c r="GV92" i="110"/>
  <c r="GU90" i="110"/>
  <c r="GT90" i="110"/>
  <c r="GS90" i="110"/>
  <c r="GS92" i="110"/>
  <c r="GR90" i="110"/>
  <c r="GR92" i="110"/>
  <c r="GQ90" i="110"/>
  <c r="GQ92" i="110"/>
  <c r="GP90" i="110"/>
  <c r="GO90" i="110"/>
  <c r="GO92" i="110"/>
  <c r="GN90" i="110"/>
  <c r="GN92" i="110"/>
  <c r="GM90" i="110"/>
  <c r="GL90" i="110"/>
  <c r="GK90" i="110"/>
  <c r="GK92" i="110"/>
  <c r="GJ90" i="110"/>
  <c r="GJ92" i="110"/>
  <c r="GI90" i="110"/>
  <c r="GI92" i="110"/>
  <c r="GH90" i="110"/>
  <c r="GG90" i="110"/>
  <c r="GG92" i="110"/>
  <c r="GF90" i="110"/>
  <c r="GE90" i="110"/>
  <c r="GD90" i="110"/>
  <c r="GD91" i="110"/>
  <c r="GC90" i="110"/>
  <c r="GC91" i="110"/>
  <c r="GB90" i="110"/>
  <c r="GB91" i="110"/>
  <c r="GA90" i="110"/>
  <c r="GA92" i="110"/>
  <c r="FZ90" i="110"/>
  <c r="FY90" i="110"/>
  <c r="FY92" i="110"/>
  <c r="FX90" i="110"/>
  <c r="FX92" i="110"/>
  <c r="FW90" i="110"/>
  <c r="FW92" i="110"/>
  <c r="FV90" i="110"/>
  <c r="FV92" i="110"/>
  <c r="FU90" i="110"/>
  <c r="FU92" i="110"/>
  <c r="FT90" i="110"/>
  <c r="FT92" i="110"/>
  <c r="FS90" i="110"/>
  <c r="FS92" i="110"/>
  <c r="FR90" i="110"/>
  <c r="FQ90" i="110"/>
  <c r="FQ92" i="110"/>
  <c r="FP90" i="110"/>
  <c r="FP92" i="110"/>
  <c r="FO90" i="110"/>
  <c r="FO92" i="110"/>
  <c r="FN90" i="110"/>
  <c r="FN92" i="110"/>
  <c r="FM90" i="110"/>
  <c r="FM92" i="110"/>
  <c r="FL90" i="110"/>
  <c r="FL92" i="110"/>
  <c r="FK90" i="110"/>
  <c r="FK92" i="110"/>
  <c r="FJ90" i="110"/>
  <c r="FI90" i="110"/>
  <c r="FH90" i="110"/>
  <c r="FG90" i="110"/>
  <c r="FG92" i="110"/>
  <c r="FF90" i="110"/>
  <c r="FF92" i="110"/>
  <c r="FE90" i="110"/>
  <c r="FE92" i="110"/>
  <c r="FD90" i="110"/>
  <c r="FD92" i="110"/>
  <c r="FC90" i="110"/>
  <c r="FC92" i="110"/>
  <c r="FB90" i="110"/>
  <c r="FA90" i="110"/>
  <c r="FA92" i="110"/>
  <c r="EZ90" i="110"/>
  <c r="EZ92" i="110"/>
  <c r="EY90" i="110"/>
  <c r="EY92" i="110"/>
  <c r="EX90" i="110"/>
  <c r="EX92" i="110"/>
  <c r="EU90" i="110"/>
  <c r="EU92" i="110"/>
  <c r="ET90" i="110"/>
  <c r="ES90" i="110"/>
  <c r="ES92" i="110"/>
  <c r="ER90" i="110"/>
  <c r="ER92" i="110"/>
  <c r="EQ90" i="110"/>
  <c r="EQ92" i="110"/>
  <c r="EP90" i="110"/>
  <c r="EP92" i="110"/>
  <c r="EO90" i="110"/>
  <c r="EO92" i="110"/>
  <c r="EN90" i="110"/>
  <c r="EN92" i="110"/>
  <c r="EM90" i="110"/>
  <c r="EM92" i="110"/>
  <c r="EL90" i="110"/>
  <c r="EK90" i="110"/>
  <c r="EK92" i="110"/>
  <c r="EJ90" i="110"/>
  <c r="EJ92" i="110"/>
  <c r="EI90" i="110"/>
  <c r="EI92" i="110"/>
  <c r="EH90" i="110"/>
  <c r="EH92" i="110"/>
  <c r="EG90" i="110"/>
  <c r="EG92" i="110"/>
  <c r="EF90" i="110"/>
  <c r="EF92" i="110"/>
  <c r="EE90" i="110"/>
  <c r="EE92" i="110"/>
  <c r="ED90" i="110"/>
  <c r="EC90" i="110"/>
  <c r="EC92" i="110"/>
  <c r="EB90" i="110"/>
  <c r="EB92" i="110"/>
  <c r="EA90" i="110"/>
  <c r="EA92" i="110"/>
  <c r="DZ90" i="110"/>
  <c r="DZ92" i="110"/>
  <c r="DY90" i="110"/>
  <c r="DY92" i="110"/>
  <c r="DX90" i="110"/>
  <c r="DX92" i="110"/>
  <c r="DW90" i="110"/>
  <c r="DW92" i="110"/>
  <c r="DV90" i="110"/>
  <c r="DU90" i="110"/>
  <c r="DU92" i="110"/>
  <c r="DT90" i="110"/>
  <c r="DT92" i="110"/>
  <c r="DS90" i="110"/>
  <c r="DS92" i="110"/>
  <c r="DR90" i="110"/>
  <c r="DR92" i="110"/>
  <c r="DQ90" i="110"/>
  <c r="DQ92" i="110"/>
  <c r="DP90" i="110"/>
  <c r="DP92" i="110"/>
  <c r="DO90" i="110"/>
  <c r="DO92" i="110"/>
  <c r="DN90" i="110"/>
  <c r="DM90" i="110"/>
  <c r="DM92" i="110"/>
  <c r="DL90" i="110"/>
  <c r="DL92" i="110"/>
  <c r="DK90" i="110"/>
  <c r="DK92" i="110"/>
  <c r="DJ90" i="110"/>
  <c r="DJ92" i="110"/>
  <c r="DI90" i="110"/>
  <c r="DI92" i="110"/>
  <c r="DH90" i="110"/>
  <c r="DH92" i="110"/>
  <c r="DG90" i="110"/>
  <c r="DG92" i="110"/>
  <c r="DF90" i="110"/>
  <c r="DE90" i="110"/>
  <c r="DE92" i="110"/>
  <c r="DD90" i="110"/>
  <c r="DD92" i="110"/>
  <c r="DC90" i="110"/>
  <c r="DC92" i="110"/>
  <c r="DB90" i="110"/>
  <c r="DB92" i="110"/>
  <c r="DA90" i="110"/>
  <c r="DA92" i="110"/>
  <c r="CZ90" i="110"/>
  <c r="CZ92" i="110"/>
  <c r="CY90" i="110"/>
  <c r="CY92" i="110"/>
  <c r="CX90" i="110"/>
  <c r="CW90" i="110"/>
  <c r="CW92" i="110"/>
  <c r="CV90" i="110"/>
  <c r="CV92" i="110"/>
  <c r="CU90" i="110"/>
  <c r="CU92" i="110"/>
  <c r="CT90" i="110"/>
  <c r="CT92" i="110"/>
  <c r="CS90" i="110"/>
  <c r="CS92" i="110"/>
  <c r="CR90" i="110"/>
  <c r="CR92" i="110"/>
  <c r="CQ90" i="110"/>
  <c r="CQ92" i="110"/>
  <c r="CP90" i="110"/>
  <c r="CO90" i="110"/>
  <c r="CO92" i="110"/>
  <c r="CN90" i="110"/>
  <c r="CN92" i="110"/>
  <c r="CM90" i="110"/>
  <c r="CM92" i="110"/>
  <c r="CL90" i="110"/>
  <c r="CL92" i="110"/>
  <c r="CK90" i="110"/>
  <c r="CK92" i="110"/>
  <c r="CJ90" i="110"/>
  <c r="CJ92" i="110"/>
  <c r="CI90" i="110"/>
  <c r="CI92" i="110"/>
  <c r="CH90" i="110"/>
  <c r="CG90" i="110"/>
  <c r="CG92" i="110"/>
  <c r="CF90" i="110"/>
  <c r="CF92" i="110"/>
  <c r="CE90" i="110"/>
  <c r="CE92" i="110"/>
  <c r="CD90" i="110"/>
  <c r="CD92" i="110"/>
  <c r="CC90" i="110"/>
  <c r="CC92" i="110"/>
  <c r="CB90" i="110"/>
  <c r="CB92" i="110"/>
  <c r="CA90" i="110"/>
  <c r="CA92" i="110"/>
  <c r="BZ90" i="110"/>
  <c r="BY90" i="110"/>
  <c r="BY92" i="110"/>
  <c r="BX90" i="110"/>
  <c r="BX92" i="110"/>
  <c r="BW90" i="110"/>
  <c r="BW92" i="110"/>
  <c r="BV90" i="110"/>
  <c r="BV92" i="110"/>
  <c r="BU90" i="110"/>
  <c r="BU92" i="110"/>
  <c r="BT90" i="110"/>
  <c r="BT92" i="110"/>
  <c r="BS90" i="110"/>
  <c r="BS92" i="110"/>
  <c r="BR90" i="110"/>
  <c r="BQ90" i="110"/>
  <c r="BQ92" i="110"/>
  <c r="BP90" i="110"/>
  <c r="BP92" i="110"/>
  <c r="BO90" i="110"/>
  <c r="BO92" i="110"/>
  <c r="BN90" i="110"/>
  <c r="BN92" i="110"/>
  <c r="BM90" i="110"/>
  <c r="BM92" i="110"/>
  <c r="BL90" i="110"/>
  <c r="BL92" i="110"/>
  <c r="BK90" i="110"/>
  <c r="BK92" i="110"/>
  <c r="BJ90" i="110"/>
  <c r="BI90" i="110"/>
  <c r="BI92" i="110"/>
  <c r="BH90" i="110"/>
  <c r="BH92" i="110"/>
  <c r="BG90" i="110"/>
  <c r="BG92" i="110"/>
  <c r="BF90" i="110"/>
  <c r="BF92" i="110"/>
  <c r="BE90" i="110"/>
  <c r="BE92" i="110"/>
  <c r="BD90" i="110"/>
  <c r="BD92" i="110"/>
  <c r="BC90" i="110"/>
  <c r="BC92" i="110"/>
  <c r="BB90" i="110"/>
  <c r="BA90" i="110"/>
  <c r="BA92" i="110"/>
  <c r="AZ90" i="110"/>
  <c r="AZ92" i="110"/>
  <c r="AY90" i="110"/>
  <c r="AY92" i="110"/>
  <c r="AX90" i="110"/>
  <c r="AX92" i="110"/>
  <c r="AW90" i="110"/>
  <c r="AW92" i="110"/>
  <c r="AV90" i="110"/>
  <c r="AV92" i="110"/>
  <c r="AU90" i="110"/>
  <c r="AU92" i="110"/>
  <c r="AT90" i="110"/>
  <c r="AS90" i="110"/>
  <c r="AS92" i="110"/>
  <c r="AR90" i="110"/>
  <c r="AR92" i="110"/>
  <c r="AQ90" i="110"/>
  <c r="AQ92" i="110"/>
  <c r="AP90" i="110"/>
  <c r="AP92" i="110"/>
  <c r="AO90" i="110"/>
  <c r="AO92" i="110"/>
  <c r="AN90" i="110"/>
  <c r="AN92" i="110"/>
  <c r="AM90" i="110"/>
  <c r="AM92" i="110"/>
  <c r="AL90" i="110"/>
  <c r="AK90" i="110"/>
  <c r="AK92" i="110"/>
  <c r="AJ90" i="110"/>
  <c r="AJ92" i="110"/>
  <c r="AI90" i="110"/>
  <c r="AI92" i="110"/>
  <c r="AH90" i="110"/>
  <c r="AH92" i="110"/>
  <c r="AG90" i="110"/>
  <c r="AG92" i="110"/>
  <c r="AF90" i="110"/>
  <c r="AF92" i="110"/>
  <c r="AE90" i="110"/>
  <c r="AE92" i="110"/>
  <c r="AD90" i="110"/>
  <c r="AC90" i="110"/>
  <c r="AC92" i="110"/>
  <c r="AB90" i="110"/>
  <c r="AB92" i="110"/>
  <c r="AA90" i="110"/>
  <c r="AA92" i="110"/>
  <c r="Z90" i="110"/>
  <c r="Z92" i="110"/>
  <c r="Y90" i="110"/>
  <c r="Y92" i="110"/>
  <c r="X90" i="110"/>
  <c r="X92" i="110"/>
  <c r="W90" i="110"/>
  <c r="W92" i="110"/>
  <c r="V90" i="110"/>
  <c r="U90" i="110"/>
  <c r="U92" i="110"/>
  <c r="T90" i="110"/>
  <c r="T92" i="110"/>
  <c r="S90" i="110"/>
  <c r="S92" i="110"/>
  <c r="R90" i="110"/>
  <c r="R92" i="110"/>
  <c r="Q90" i="110"/>
  <c r="Q92" i="110"/>
  <c r="P90" i="110"/>
  <c r="P92" i="110"/>
  <c r="O90" i="110"/>
  <c r="N90" i="110"/>
  <c r="M90" i="110"/>
  <c r="L90" i="110"/>
  <c r="K90" i="110"/>
  <c r="J90" i="110"/>
  <c r="V92" i="110"/>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c r="IP86" i="110"/>
  <c r="IP91" i="110"/>
  <c r="IO86" i="110"/>
  <c r="IO91" i="110"/>
  <c r="IM86" i="110"/>
  <c r="IM91" i="110"/>
  <c r="IL86" i="110"/>
  <c r="IL91" i="110"/>
  <c r="HT86" i="110"/>
  <c r="HS86" i="110"/>
  <c r="HR86" i="110"/>
  <c r="HQ86" i="110"/>
  <c r="HP86" i="110"/>
  <c r="HO86" i="110"/>
  <c r="HN86" i="110"/>
  <c r="HM86" i="110"/>
  <c r="HL86" i="110"/>
  <c r="HK86" i="110"/>
  <c r="HJ86" i="110"/>
  <c r="HG86" i="110"/>
  <c r="EZ86" i="110"/>
  <c r="EZ89" i="110"/>
  <c r="EY86" i="110"/>
  <c r="EY89" i="110"/>
  <c r="EX86" i="110"/>
  <c r="ES86" i="110"/>
  <c r="ES87" i="110"/>
  <c r="EP86" i="110"/>
  <c r="EP87" i="110"/>
  <c r="EO86" i="110"/>
  <c r="EN86" i="110"/>
  <c r="EN87" i="110"/>
  <c r="EM86" i="110"/>
  <c r="EH86" i="110"/>
  <c r="EH87" i="110"/>
  <c r="DP86" i="110"/>
  <c r="IV85" i="110"/>
  <c r="IU85" i="110"/>
  <c r="JK85" i="110"/>
  <c r="IT85" i="110"/>
  <c r="IR85" i="110"/>
  <c r="IR86" i="110"/>
  <c r="IR87" i="110"/>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M91" i="110" s="1"/>
  <c r="FL85" i="110"/>
  <c r="FL86" i="110" s="1"/>
  <c r="FK85" i="110"/>
  <c r="FK86" i="110" s="1"/>
  <c r="FJ85" i="110"/>
  <c r="FJ86" i="110" s="1"/>
  <c r="FI85" i="110"/>
  <c r="FI86" i="110" s="1"/>
  <c r="FH85" i="110"/>
  <c r="FH86" i="110" s="1"/>
  <c r="FG85" i="110"/>
  <c r="FG86" i="110" s="1"/>
  <c r="FF85" i="110"/>
  <c r="FF86" i="110" s="1"/>
  <c r="FE85" i="110"/>
  <c r="FE86" i="110" s="1"/>
  <c r="FD85" i="110"/>
  <c r="FD86" i="110" s="1"/>
  <c r="FC85" i="110"/>
  <c r="FC86" i="110" s="1"/>
  <c r="FB85" i="110"/>
  <c r="FB86" i="110" s="1"/>
  <c r="FB87" i="110" s="1"/>
  <c r="FA85" i="110"/>
  <c r="FA86" i="110" s="1"/>
  <c r="EU85" i="110"/>
  <c r="ET85" i="110"/>
  <c r="ET86" i="110"/>
  <c r="ER85" i="110"/>
  <c r="ER86" i="110"/>
  <c r="EQ85" i="110"/>
  <c r="EQ86" i="110"/>
  <c r="EQ87" i="110"/>
  <c r="EP85" i="110"/>
  <c r="HX85" i="110"/>
  <c r="EL85" i="110"/>
  <c r="EL86" i="110"/>
  <c r="EK85" i="110"/>
  <c r="EK86" i="110"/>
  <c r="EK87" i="110"/>
  <c r="EJ85" i="110"/>
  <c r="EJ86" i="110"/>
  <c r="EJ87" i="110"/>
  <c r="EI85" i="110"/>
  <c r="EH85" i="110"/>
  <c r="EG85" i="110"/>
  <c r="EG86" i="110"/>
  <c r="EG87" i="110"/>
  <c r="EF85" i="110"/>
  <c r="EF86" i="110"/>
  <c r="JQ84" i="110"/>
  <c r="JP84" i="110"/>
  <c r="JA84" i="110"/>
  <c r="IZ84" i="110"/>
  <c r="JO83" i="110"/>
  <c r="JN83" i="110"/>
  <c r="JL83" i="110"/>
  <c r="JC83" i="110"/>
  <c r="JA83" i="110"/>
  <c r="IZ83" i="110"/>
  <c r="JP83" i="110"/>
  <c r="IY83" i="110"/>
  <c r="IX83" i="110"/>
  <c r="IW83" i="110"/>
  <c r="IV83" i="110"/>
  <c r="JK83" i="110"/>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c r="IX82" i="110"/>
  <c r="JP82" i="110"/>
  <c r="IW82" i="110"/>
  <c r="JM82" i="110"/>
  <c r="IV82" i="110"/>
  <c r="JK82" i="110"/>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c r="JL81" i="110"/>
  <c r="IX81" i="110"/>
  <c r="JO81" i="110"/>
  <c r="IW81" i="110"/>
  <c r="IV81" i="110"/>
  <c r="JK81" i="110"/>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c r="IY80" i="110"/>
  <c r="JO80" i="110"/>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c r="IX79" i="110"/>
  <c r="IW79" i="110"/>
  <c r="IV79" i="110"/>
  <c r="IU79" i="110"/>
  <c r="JK79" i="110"/>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c r="JA78" i="110"/>
  <c r="IZ78" i="110"/>
  <c r="IY78" i="110"/>
  <c r="JQ78" i="110"/>
  <c r="IX78" i="110"/>
  <c r="IW78" i="110"/>
  <c r="JN78" i="110"/>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c r="IX77" i="110"/>
  <c r="JP77" i="110"/>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c r="IX76" i="110"/>
  <c r="JP76" i="110"/>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c r="JL75" i="110"/>
  <c r="IX75" i="110"/>
  <c r="IW75" i="110"/>
  <c r="IV75" i="110"/>
  <c r="IU75" i="110"/>
  <c r="JK75" i="110"/>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c r="IX74" i="110"/>
  <c r="JN74" i="110"/>
  <c r="IW74" i="110"/>
  <c r="JM74" i="110"/>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c r="IY73" i="110"/>
  <c r="JO73" i="110"/>
  <c r="IX73" i="110"/>
  <c r="IW73" i="110"/>
  <c r="IV73" i="110"/>
  <c r="JK73" i="110"/>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c r="IX72" i="110"/>
  <c r="JN72" i="110"/>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c r="IY71" i="110"/>
  <c r="JC71" i="110"/>
  <c r="JL71" i="110"/>
  <c r="IX71" i="110"/>
  <c r="IW71" i="110"/>
  <c r="IV71" i="110"/>
  <c r="IU71" i="110"/>
  <c r="JK71" i="110"/>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c r="IX70" i="110"/>
  <c r="JN70" i="110"/>
  <c r="IW70" i="110"/>
  <c r="JM70" i="110"/>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c r="IY69" i="110"/>
  <c r="JO69" i="110"/>
  <c r="IX69" i="110"/>
  <c r="IW69" i="110"/>
  <c r="IV69" i="110"/>
  <c r="JK69" i="110"/>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c r="IX68" i="110"/>
  <c r="JN68" i="110"/>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c r="IY67" i="110"/>
  <c r="IX67" i="110"/>
  <c r="IW67" i="110"/>
  <c r="IV67" i="110"/>
  <c r="IU67" i="110"/>
  <c r="JK67" i="110"/>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c r="IX66" i="110"/>
  <c r="JN66" i="110"/>
  <c r="IW66" i="110"/>
  <c r="JM66" i="110"/>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c r="IY65" i="110"/>
  <c r="IX65" i="110"/>
  <c r="IW65" i="110"/>
  <c r="IV65" i="110"/>
  <c r="JK65" i="110"/>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c r="IX64" i="110"/>
  <c r="JN64" i="110"/>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c r="IY63" i="110"/>
  <c r="IX63" i="110"/>
  <c r="IW63" i="110"/>
  <c r="IV63" i="110"/>
  <c r="IU63" i="110"/>
  <c r="JK63" i="110"/>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c r="JA62" i="110"/>
  <c r="IZ62" i="110"/>
  <c r="IY62" i="110"/>
  <c r="JQ62" i="110"/>
  <c r="IX62" i="110"/>
  <c r="IW62" i="110"/>
  <c r="JM62" i="110"/>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c r="IY61" i="110"/>
  <c r="JQ61" i="110"/>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c r="IX60" i="110"/>
  <c r="JP60" i="110"/>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c r="IY59" i="110"/>
  <c r="IX59" i="110"/>
  <c r="IW59" i="110"/>
  <c r="IV59" i="110"/>
  <c r="IU59" i="110"/>
  <c r="JK59" i="110"/>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c r="JA58" i="110"/>
  <c r="IZ58" i="110"/>
  <c r="IY58" i="110"/>
  <c r="JQ58" i="110"/>
  <c r="IX58" i="110"/>
  <c r="JN58" i="110"/>
  <c r="IW58" i="110"/>
  <c r="JM58" i="110"/>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c r="HJ92" i="110"/>
  <c r="HG57" i="110"/>
  <c r="JK56" i="110"/>
  <c r="JA56" i="110"/>
  <c r="IZ56" i="110"/>
  <c r="IY56" i="110"/>
  <c r="JQ56" i="110"/>
  <c r="IX56" i="110"/>
  <c r="JP56" i="110"/>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c r="IY55" i="110"/>
  <c r="JC55" i="110"/>
  <c r="JL55" i="110"/>
  <c r="IX55" i="110"/>
  <c r="IW55" i="110"/>
  <c r="IV55" i="110"/>
  <c r="IU55" i="110"/>
  <c r="JK55" i="110"/>
  <c r="IT55" i="110"/>
  <c r="IJ55" i="110"/>
  <c r="II55" i="110"/>
  <c r="IH55" i="110"/>
  <c r="IH90"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c r="IE54" i="110"/>
  <c r="ID54" i="110"/>
  <c r="IC54" i="110"/>
  <c r="IB54" i="110"/>
  <c r="IA54" i="110"/>
  <c r="HY54" i="110"/>
  <c r="HX54" i="110"/>
  <c r="HX90" i="110"/>
  <c r="HW54" i="110"/>
  <c r="HV54" i="110"/>
  <c r="HU54" i="110"/>
  <c r="HT54" i="110"/>
  <c r="HS54" i="110"/>
  <c r="HR54" i="110"/>
  <c r="HQ54" i="110"/>
  <c r="HP54" i="110"/>
  <c r="HP90" i="110"/>
  <c r="HO54" i="110"/>
  <c r="HN54" i="110"/>
  <c r="HM54" i="110"/>
  <c r="HL54" i="110"/>
  <c r="HK54" i="110"/>
  <c r="HJ54" i="110"/>
  <c r="HG54" i="110"/>
  <c r="EW54" i="110"/>
  <c r="EV54" i="110"/>
  <c r="IX54" i="110"/>
  <c r="JO54" i="110"/>
  <c r="JQ53" i="110"/>
  <c r="JP53" i="110"/>
  <c r="JO53" i="110"/>
  <c r="JI53" i="110"/>
  <c r="JH53" i="110"/>
  <c r="JC53" i="110"/>
  <c r="JL53" i="110"/>
  <c r="IY53" i="110"/>
  <c r="IX53" i="110"/>
  <c r="JN53" i="110"/>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c r="IU13" i="110"/>
  <c r="IT13" i="110"/>
  <c r="IU12" i="110"/>
  <c r="IT12" i="110"/>
  <c r="HQ12" i="110"/>
  <c r="HQ13" i="110"/>
  <c r="HP12" i="110"/>
  <c r="HP13" i="110"/>
  <c r="HO12" i="110"/>
  <c r="HO13" i="110"/>
  <c r="HN12" i="110"/>
  <c r="HN13" i="110"/>
  <c r="HM12" i="110"/>
  <c r="HM13" i="110"/>
  <c r="EU12" i="110"/>
  <c r="EI12" i="110"/>
  <c r="DW12" i="110"/>
  <c r="HR12" i="110"/>
  <c r="HR13" i="110"/>
  <c r="IT11" i="110"/>
  <c r="HQ11" i="110"/>
  <c r="HP11" i="110"/>
  <c r="HO11" i="110"/>
  <c r="HN11" i="110"/>
  <c r="HM11" i="110"/>
  <c r="EV11" i="110"/>
  <c r="EJ11" i="110"/>
  <c r="DX11" i="110"/>
  <c r="IU11" i="110"/>
  <c r="IU10" i="110"/>
  <c r="IT10" i="110"/>
  <c r="HR10" i="110"/>
  <c r="HQ10" i="110"/>
  <c r="HP10" i="110"/>
  <c r="HO10" i="110"/>
  <c r="HN10" i="110"/>
  <c r="HM10" i="110"/>
  <c r="G226" i="59"/>
  <c r="M102" i="109"/>
  <c r="M101" i="109"/>
  <c r="L101" i="109"/>
  <c r="M100" i="109"/>
  <c r="L100" i="109"/>
  <c r="M99" i="109"/>
  <c r="L99" i="109"/>
  <c r="L98" i="109"/>
  <c r="C98" i="109"/>
  <c r="M98" i="109" s="1"/>
  <c r="L97" i="109"/>
  <c r="I97" i="109"/>
  <c r="M97" i="109" s="1"/>
  <c r="L96" i="109"/>
  <c r="I96" i="109"/>
  <c r="C96" i="109"/>
  <c r="M95" i="109"/>
  <c r="H95" i="109"/>
  <c r="F95" i="109"/>
  <c r="D95" i="109"/>
  <c r="B95" i="109"/>
  <c r="M94" i="109"/>
  <c r="F94" i="109"/>
  <c r="D94" i="109"/>
  <c r="B94" i="109"/>
  <c r="G93" i="109"/>
  <c r="E93" i="109"/>
  <c r="M93" i="109" s="1"/>
  <c r="C93" i="109"/>
  <c r="B93" i="109"/>
  <c r="L93" i="109" s="1"/>
  <c r="E92" i="109"/>
  <c r="C92" i="109"/>
  <c r="B92" i="109"/>
  <c r="L92" i="109" s="1"/>
  <c r="M91" i="109"/>
  <c r="H91" i="109"/>
  <c r="F91" i="109"/>
  <c r="D91" i="109"/>
  <c r="B91" i="109"/>
  <c r="I90" i="109"/>
  <c r="M90" i="109" s="1"/>
  <c r="H90" i="109"/>
  <c r="G90" i="109"/>
  <c r="F90" i="109"/>
  <c r="E90" i="109"/>
  <c r="D90" i="109"/>
  <c r="C90" i="109"/>
  <c r="B90" i="109"/>
  <c r="M89" i="109"/>
  <c r="F89" i="109"/>
  <c r="D89" i="109"/>
  <c r="B89" i="109"/>
  <c r="I88" i="109"/>
  <c r="H88" i="109"/>
  <c r="G88" i="109"/>
  <c r="F88" i="109"/>
  <c r="E88" i="109"/>
  <c r="D88" i="109"/>
  <c r="C88" i="109"/>
  <c r="B88" i="109"/>
  <c r="I87" i="109"/>
  <c r="H87" i="109"/>
  <c r="G87" i="109"/>
  <c r="F87" i="109"/>
  <c r="E87" i="109"/>
  <c r="D87" i="109"/>
  <c r="C87" i="109"/>
  <c r="B87" i="109"/>
  <c r="M86" i="109"/>
  <c r="H86" i="109"/>
  <c r="F86" i="109"/>
  <c r="D86" i="109"/>
  <c r="B86" i="109"/>
  <c r="I85" i="109"/>
  <c r="H85" i="109"/>
  <c r="G85" i="109"/>
  <c r="F85" i="109"/>
  <c r="E85" i="109"/>
  <c r="D85" i="109"/>
  <c r="C85" i="109"/>
  <c r="B85" i="109"/>
  <c r="G127" i="109"/>
  <c r="M127" i="109" s="1"/>
  <c r="M126" i="109"/>
  <c r="B126" i="109"/>
  <c r="L126" i="109" s="1"/>
  <c r="M125" i="109"/>
  <c r="L125" i="109"/>
  <c r="L124" i="109"/>
  <c r="E124" i="109"/>
  <c r="C124" i="109"/>
  <c r="M124" i="109" s="1"/>
  <c r="L123" i="109"/>
  <c r="I123" i="109"/>
  <c r="C123" i="109"/>
  <c r="L122" i="109"/>
  <c r="I122" i="109"/>
  <c r="C122" i="109"/>
  <c r="M121" i="109"/>
  <c r="H121" i="109"/>
  <c r="F121" i="109"/>
  <c r="D121" i="109"/>
  <c r="B121" i="109"/>
  <c r="M120" i="109"/>
  <c r="F120" i="109"/>
  <c r="D120" i="109"/>
  <c r="B120" i="109"/>
  <c r="I119" i="109"/>
  <c r="G119" i="109"/>
  <c r="E119" i="109"/>
  <c r="C119" i="109"/>
  <c r="B119" i="109"/>
  <c r="L119" i="109" s="1"/>
  <c r="I118" i="109"/>
  <c r="G118" i="109"/>
  <c r="E118" i="109"/>
  <c r="C118" i="109"/>
  <c r="B118" i="109"/>
  <c r="L118" i="109" s="1"/>
  <c r="I117" i="109"/>
  <c r="H117" i="109"/>
  <c r="G117" i="109"/>
  <c r="F117" i="109"/>
  <c r="D117" i="109"/>
  <c r="C117" i="109"/>
  <c r="B117" i="109"/>
  <c r="I116" i="109"/>
  <c r="H116" i="109"/>
  <c r="G116" i="109"/>
  <c r="E116" i="109"/>
  <c r="D116" i="109"/>
  <c r="C116" i="109"/>
  <c r="B116" i="109"/>
  <c r="M115" i="109"/>
  <c r="H115" i="109"/>
  <c r="F115" i="109"/>
  <c r="D115" i="109"/>
  <c r="B115" i="109"/>
  <c r="I114" i="109"/>
  <c r="H114" i="109"/>
  <c r="G114" i="109"/>
  <c r="F114" i="109"/>
  <c r="E114" i="109"/>
  <c r="D114" i="109"/>
  <c r="C114" i="109"/>
  <c r="B114" i="109"/>
  <c r="I113" i="109"/>
  <c r="H113" i="109"/>
  <c r="G113" i="109"/>
  <c r="F113" i="109"/>
  <c r="E113" i="109"/>
  <c r="D113" i="109"/>
  <c r="C113" i="109"/>
  <c r="B113" i="109"/>
  <c r="I112" i="109"/>
  <c r="H112" i="109"/>
  <c r="G112" i="109"/>
  <c r="F112" i="109"/>
  <c r="E112" i="109"/>
  <c r="D112" i="109"/>
  <c r="C112" i="109"/>
  <c r="B112" i="109"/>
  <c r="I111" i="109"/>
  <c r="H111" i="109"/>
  <c r="G111" i="109"/>
  <c r="F111" i="109"/>
  <c r="E111" i="109"/>
  <c r="D111" i="109"/>
  <c r="C111" i="109"/>
  <c r="B111" i="109"/>
  <c r="FE43" i="70"/>
  <c r="FF43" i="70"/>
  <c r="FG43" i="70"/>
  <c r="FH43" i="70"/>
  <c r="FI43" i="70"/>
  <c r="FJ43" i="70"/>
  <c r="FK43" i="70"/>
  <c r="FL43" i="70"/>
  <c r="FM43" i="70"/>
  <c r="FN43" i="70"/>
  <c r="FO43" i="70"/>
  <c r="FP43" i="70"/>
  <c r="FQ43" i="70"/>
  <c r="FR43" i="70"/>
  <c r="FS43" i="70"/>
  <c r="FT43" i="70"/>
  <c r="FU43" i="70"/>
  <c r="GG45" i="70" s="1"/>
  <c r="FV43" i="70"/>
  <c r="GH45" i="70" s="1"/>
  <c r="FW43" i="70"/>
  <c r="FX43" i="70"/>
  <c r="FY43" i="70"/>
  <c r="FZ43" i="70"/>
  <c r="GL45" i="70" s="1"/>
  <c r="GA43" i="70"/>
  <c r="GN43" i="70"/>
  <c r="GN44" i="70" s="1"/>
  <c r="GO43" i="70"/>
  <c r="GO44" i="70" s="1"/>
  <c r="GP43" i="70"/>
  <c r="GP44" i="70" s="1"/>
  <c r="GQ43" i="70"/>
  <c r="GR43" i="70"/>
  <c r="GR44" i="70" s="1"/>
  <c r="GS43" i="70"/>
  <c r="GS45" i="70" s="1"/>
  <c r="GT43" i="70"/>
  <c r="GT44" i="70" s="1"/>
  <c r="GU43" i="70"/>
  <c r="GU44" i="70" s="1"/>
  <c r="GV43" i="70"/>
  <c r="GV44" i="70" s="1"/>
  <c r="GW43" i="70"/>
  <c r="GW44" i="70" s="1"/>
  <c r="GX43" i="70"/>
  <c r="GY43" i="70"/>
  <c r="GY44" i="70" s="1"/>
  <c r="GZ43" i="70"/>
  <c r="GZ44" i="70" s="1"/>
  <c r="HA43" i="70"/>
  <c r="HA44" i="70" s="1"/>
  <c r="HB43" i="70"/>
  <c r="HC43" i="70"/>
  <c r="HC44" i="70" s="1"/>
  <c r="HD43" i="70"/>
  <c r="HD44" i="70" s="1"/>
  <c r="HE43" i="70"/>
  <c r="HE44" i="70" s="1"/>
  <c r="HF43" i="70"/>
  <c r="HG43" i="70"/>
  <c r="HG44" i="70" s="1"/>
  <c r="HH43" i="70"/>
  <c r="HH44" i="70" s="1"/>
  <c r="HI43" i="70"/>
  <c r="HJ43" i="70"/>
  <c r="HJ44" i="70" s="1"/>
  <c r="HK43" i="70"/>
  <c r="HK44" i="70" s="1"/>
  <c r="HL43" i="70"/>
  <c r="HL44" i="70" s="1"/>
  <c r="HM43" i="70"/>
  <c r="HM44" i="70" s="1"/>
  <c r="HN43" i="70"/>
  <c r="HN44" i="70" s="1"/>
  <c r="HO43" i="70"/>
  <c r="HO44" i="70" s="1"/>
  <c r="HP43" i="70"/>
  <c r="HP44" i="70" s="1"/>
  <c r="HQ43" i="70"/>
  <c r="HQ44" i="70" s="1"/>
  <c r="HR43" i="70"/>
  <c r="HT43" i="70"/>
  <c r="HT44" i="70" s="1"/>
  <c r="HU43" i="70"/>
  <c r="HU44" i="70" s="1"/>
  <c r="JA43" i="70"/>
  <c r="JA44" i="70" s="1"/>
  <c r="JB43" i="70"/>
  <c r="JC43" i="70"/>
  <c r="JD43" i="70"/>
  <c r="JD44" i="70" s="1"/>
  <c r="JE43" i="70"/>
  <c r="JF45" i="70" s="1"/>
  <c r="JF43" i="70"/>
  <c r="JG43" i="70"/>
  <c r="JG45" i="70" s="1"/>
  <c r="JH43" i="70"/>
  <c r="JI43" i="70"/>
  <c r="FD43" i="70"/>
  <c r="AE39" i="21"/>
  <c r="FW85" i="110"/>
  <c r="FX85" i="110"/>
  <c r="FX86" i="110" s="1"/>
  <c r="FY85" i="110"/>
  <c r="FY86" i="110" s="1"/>
  <c r="FY89" i="110" s="1"/>
  <c r="J128" i="28"/>
  <c r="J127" i="28"/>
  <c r="J126" i="28"/>
  <c r="J125" i="28"/>
  <c r="I128" i="28"/>
  <c r="I127" i="28"/>
  <c r="I126" i="28"/>
  <c r="I125" i="28"/>
  <c r="H128" i="28"/>
  <c r="H127" i="28"/>
  <c r="H126" i="28"/>
  <c r="H125" i="28"/>
  <c r="G128" i="28"/>
  <c r="G127" i="28"/>
  <c r="G125" i="28"/>
  <c r="AD34" i="21"/>
  <c r="AD35" i="21"/>
  <c r="AD36" i="21"/>
  <c r="AD37" i="21"/>
  <c r="AE34" i="21"/>
  <c r="AE41" i="21" s="1"/>
  <c r="AE35" i="21"/>
  <c r="AE43" i="21" s="1"/>
  <c r="AE36" i="21"/>
  <c r="AE45" i="21" s="1"/>
  <c r="AE37" i="21"/>
  <c r="AE38" i="21"/>
  <c r="AE49" i="21" s="1"/>
  <c r="AY7" i="21"/>
  <c r="N257" i="59"/>
  <c r="M257" i="59"/>
  <c r="L257" i="59"/>
  <c r="K257" i="59"/>
  <c r="J257" i="59"/>
  <c r="I257" i="59"/>
  <c r="H257" i="59"/>
  <c r="G257" i="59"/>
  <c r="F257" i="59"/>
  <c r="F260" i="59" s="1"/>
  <c r="E257" i="59"/>
  <c r="E260" i="59" s="1"/>
  <c r="D257" i="59"/>
  <c r="D260" i="59" s="1"/>
  <c r="C257" i="59"/>
  <c r="C260" i="59" s="1"/>
  <c r="C256" i="59"/>
  <c r="C259" i="59" s="1"/>
  <c r="N256" i="59"/>
  <c r="M256" i="59"/>
  <c r="L256" i="59"/>
  <c r="K256" i="59"/>
  <c r="J256" i="59"/>
  <c r="I256" i="59"/>
  <c r="H256" i="59"/>
  <c r="G256" i="59"/>
  <c r="F256" i="59"/>
  <c r="E256" i="59"/>
  <c r="D256" i="59"/>
  <c r="D251" i="59"/>
  <c r="D254" i="59" s="1"/>
  <c r="N250" i="59"/>
  <c r="M250" i="59"/>
  <c r="L250" i="59"/>
  <c r="K250" i="59"/>
  <c r="K253" i="59" s="1"/>
  <c r="J250" i="59"/>
  <c r="I250" i="59"/>
  <c r="I253" i="59" s="1"/>
  <c r="H250" i="59"/>
  <c r="G250" i="59"/>
  <c r="G253" i="59" s="1"/>
  <c r="F250" i="59"/>
  <c r="E250" i="59"/>
  <c r="D250" i="59"/>
  <c r="M122" i="109"/>
  <c r="FV86" i="110"/>
  <c r="FV91" i="110" s="1"/>
  <c r="JE57" i="110"/>
  <c r="JO57" i="110"/>
  <c r="JC57" i="110"/>
  <c r="JL57" i="110"/>
  <c r="JE65" i="110"/>
  <c r="EW90" i="110"/>
  <c r="EW92" i="110"/>
  <c r="EW86" i="110"/>
  <c r="HZ54" i="110"/>
  <c r="HZ90" i="110"/>
  <c r="JC59" i="110"/>
  <c r="JL59" i="110"/>
  <c r="JG73" i="110"/>
  <c r="JE76" i="110"/>
  <c r="JD70" i="110"/>
  <c r="JE71" i="110"/>
  <c r="HR90" i="110"/>
  <c r="JD61" i="110"/>
  <c r="JP64" i="110"/>
  <c r="JC67" i="110"/>
  <c r="JL67" i="110"/>
  <c r="JE69" i="110"/>
  <c r="JE70" i="110"/>
  <c r="HR11" i="110"/>
  <c r="IV89" i="110"/>
  <c r="IV86" i="110"/>
  <c r="JE53" i="110"/>
  <c r="JM61" i="110"/>
  <c r="JK61" i="110"/>
  <c r="JE75" i="110"/>
  <c r="JE78" i="110"/>
  <c r="JE62" i="110"/>
  <c r="JE63" i="110"/>
  <c r="JM53" i="110"/>
  <c r="IC90" i="110"/>
  <c r="IT90" i="110"/>
  <c r="IT92" i="110"/>
  <c r="JD56" i="110"/>
  <c r="JM57" i="110"/>
  <c r="JK57" i="110"/>
  <c r="JE58" i="110"/>
  <c r="JE60" i="110"/>
  <c r="JO65" i="110"/>
  <c r="JC65" i="110"/>
  <c r="JL65" i="110"/>
  <c r="JQ65" i="110"/>
  <c r="JE73" i="110"/>
  <c r="JE74" i="110"/>
  <c r="JK53" i="110"/>
  <c r="IT44" i="110"/>
  <c r="HP44" i="110"/>
  <c r="HM90" i="110"/>
  <c r="HM92" i="110"/>
  <c r="HU90" i="110"/>
  <c r="JE56" i="110"/>
  <c r="JQ57" i="110"/>
  <c r="JE59" i="110"/>
  <c r="JF60" i="110"/>
  <c r="JN62" i="110"/>
  <c r="JE68" i="110"/>
  <c r="JP68" i="110"/>
  <c r="JG72" i="110"/>
  <c r="JE55" i="110"/>
  <c r="JO60" i="110"/>
  <c r="JN60" i="110"/>
  <c r="JO61" i="110"/>
  <c r="JC61" i="110"/>
  <c r="JL61" i="110"/>
  <c r="JC63" i="110"/>
  <c r="JL63" i="110"/>
  <c r="JE77" i="110"/>
  <c r="JE80" i="110"/>
  <c r="JN54" i="110"/>
  <c r="IX90" i="110"/>
  <c r="JP54" i="110"/>
  <c r="IW90" i="110"/>
  <c r="JM54" i="110"/>
  <c r="JO56" i="110"/>
  <c r="JN56" i="110"/>
  <c r="JE67" i="110"/>
  <c r="JE72" i="110"/>
  <c r="JP72" i="110"/>
  <c r="JD76" i="110"/>
  <c r="ET87" i="110"/>
  <c r="ET89" i="110"/>
  <c r="HJ91" i="110"/>
  <c r="JF66" i="110"/>
  <c r="JQ69" i="110"/>
  <c r="HG90" i="110"/>
  <c r="HG92" i="110"/>
  <c r="HQ90" i="110"/>
  <c r="HQ92" i="110"/>
  <c r="HY90" i="110"/>
  <c r="IG90" i="110"/>
  <c r="IG92" i="110"/>
  <c r="JN55" i="110"/>
  <c r="JC56" i="110"/>
  <c r="JL56" i="110"/>
  <c r="JG58" i="110"/>
  <c r="JP58" i="110"/>
  <c r="JN59" i="110"/>
  <c r="JC60" i="110"/>
  <c r="JL60" i="110"/>
  <c r="JP62" i="110"/>
  <c r="JN63" i="110"/>
  <c r="JC64" i="110"/>
  <c r="JL64" i="110"/>
  <c r="JP66" i="110"/>
  <c r="JN67" i="110"/>
  <c r="JC68" i="110"/>
  <c r="JL68" i="110"/>
  <c r="JP70" i="110"/>
  <c r="JN71" i="110"/>
  <c r="JC72" i="110"/>
  <c r="JL72" i="110"/>
  <c r="JP74" i="110"/>
  <c r="JN75" i="110"/>
  <c r="JC76" i="110"/>
  <c r="JL76" i="110"/>
  <c r="JP78" i="110"/>
  <c r="JN79" i="110"/>
  <c r="JN80" i="110"/>
  <c r="JQ83" i="110"/>
  <c r="HV85" i="110"/>
  <c r="EI86" i="110"/>
  <c r="EU86" i="110"/>
  <c r="HZ85" i="110"/>
  <c r="EX89" i="110"/>
  <c r="EX87" i="110"/>
  <c r="HK91" i="110"/>
  <c r="HK87" i="110"/>
  <c r="HO87" i="110"/>
  <c r="HS87" i="110"/>
  <c r="FI92" i="110"/>
  <c r="IR91" i="110"/>
  <c r="BR92" i="110"/>
  <c r="ED92" i="110"/>
  <c r="JC80" i="110"/>
  <c r="JL80" i="110"/>
  <c r="HR91" i="110"/>
  <c r="BJ92" i="110"/>
  <c r="IY90" i="110"/>
  <c r="IY92" i="110"/>
  <c r="JQ54" i="110"/>
  <c r="JO55" i="110"/>
  <c r="JM56" i="110"/>
  <c r="JO59" i="110"/>
  <c r="JM60" i="110"/>
  <c r="JO63" i="110"/>
  <c r="JM64" i="110"/>
  <c r="JO67" i="110"/>
  <c r="JM68" i="110"/>
  <c r="JO71" i="110"/>
  <c r="JM72" i="110"/>
  <c r="JO75" i="110"/>
  <c r="JM76" i="110"/>
  <c r="JK77" i="110"/>
  <c r="IS87" i="110"/>
  <c r="IS91" i="110"/>
  <c r="GH92" i="110"/>
  <c r="GP92" i="110"/>
  <c r="GX92" i="110"/>
  <c r="HF92" i="110"/>
  <c r="BZ92" i="110"/>
  <c r="EL92" i="110"/>
  <c r="JD71" i="110"/>
  <c r="JQ73" i="110"/>
  <c r="JQ77" i="110"/>
  <c r="DV92" i="110"/>
  <c r="IT89" i="110"/>
  <c r="IT86" i="110"/>
  <c r="HK90" i="110"/>
  <c r="HS90" i="110"/>
  <c r="IA90" i="110"/>
  <c r="IA92" i="110"/>
  <c r="II90" i="110"/>
  <c r="IZ90" i="110"/>
  <c r="IZ92" i="110"/>
  <c r="JC69" i="110"/>
  <c r="JL69" i="110"/>
  <c r="JC73" i="110"/>
  <c r="JL73" i="110"/>
  <c r="JP75" i="110"/>
  <c r="JN76" i="110"/>
  <c r="JC77" i="110"/>
  <c r="JL77" i="110"/>
  <c r="JP79" i="110"/>
  <c r="JQ80" i="110"/>
  <c r="JM81" i="110"/>
  <c r="JD82" i="110"/>
  <c r="JE82" i="110"/>
  <c r="HM91" i="110"/>
  <c r="IA86" i="110"/>
  <c r="CH92" i="110"/>
  <c r="ET92" i="110"/>
  <c r="IU89" i="110"/>
  <c r="IU86" i="110"/>
  <c r="JD64" i="110"/>
  <c r="HL90" i="110"/>
  <c r="HT90" i="110"/>
  <c r="IB90" i="110"/>
  <c r="IB92" i="110"/>
  <c r="IJ90" i="110"/>
  <c r="IJ92" i="110"/>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HN91" i="110"/>
  <c r="AD92" i="110"/>
  <c r="CP92" i="110"/>
  <c r="FB92" i="110"/>
  <c r="JD83" i="110"/>
  <c r="HN90" i="110"/>
  <c r="HN92" i="110"/>
  <c r="HV90" i="110"/>
  <c r="HV92" i="110"/>
  <c r="IU90" i="110"/>
  <c r="IU92" i="110"/>
  <c r="JD54" i="110"/>
  <c r="JM78" i="110"/>
  <c r="JN82" i="110"/>
  <c r="HU86" i="110"/>
  <c r="EF87" i="110"/>
  <c r="HX86" i="110"/>
  <c r="HP91" i="110"/>
  <c r="GL92" i="110"/>
  <c r="GL91" i="110"/>
  <c r="GT92" i="110"/>
  <c r="GT91" i="110"/>
  <c r="HB92" i="110"/>
  <c r="HB91" i="110"/>
  <c r="IQ92" i="110"/>
  <c r="IP92" i="110"/>
  <c r="AT92" i="110"/>
  <c r="DF92" i="110"/>
  <c r="FR92" i="110"/>
  <c r="AL92" i="110"/>
  <c r="CX92" i="110"/>
  <c r="IW89" i="110"/>
  <c r="IW86" i="110"/>
  <c r="ID90" i="110"/>
  <c r="ID92" i="110"/>
  <c r="IX89" i="110"/>
  <c r="IX86" i="110"/>
  <c r="JF67" i="110"/>
  <c r="IX85" i="110"/>
  <c r="EV90" i="110"/>
  <c r="EV92" i="110"/>
  <c r="EV86" i="110"/>
  <c r="HO90" i="110"/>
  <c r="HO92" i="110"/>
  <c r="HW90" i="110"/>
  <c r="HW92" i="110"/>
  <c r="IE90" i="110"/>
  <c r="IV90" i="110"/>
  <c r="IV92" i="110"/>
  <c r="JE54" i="110"/>
  <c r="JC79" i="110"/>
  <c r="JL79" i="110"/>
  <c r="JF83" i="110"/>
  <c r="ER89" i="110"/>
  <c r="HY86" i="110"/>
  <c r="ER87" i="110"/>
  <c r="JE85" i="110"/>
  <c r="HG91" i="110"/>
  <c r="HQ91" i="110"/>
  <c r="BB92" i="110"/>
  <c r="DN92" i="110"/>
  <c r="FZ92" i="110"/>
  <c r="JQ81" i="110"/>
  <c r="JF82" i="110"/>
  <c r="JO82" i="110"/>
  <c r="JM83" i="110"/>
  <c r="HM87" i="110"/>
  <c r="IM87" i="110"/>
  <c r="IR89" i="110"/>
  <c r="GG91" i="110"/>
  <c r="GO91" i="110"/>
  <c r="GW91" i="110"/>
  <c r="HE91" i="110"/>
  <c r="JE83" i="110"/>
  <c r="HY85" i="110"/>
  <c r="IW85" i="110"/>
  <c r="EO87" i="110"/>
  <c r="HN87" i="110"/>
  <c r="IN87" i="110"/>
  <c r="HG87" i="110"/>
  <c r="IN92" i="110"/>
  <c r="EY87" i="110"/>
  <c r="HP87" i="110"/>
  <c r="IP87" i="110"/>
  <c r="GJ91" i="110"/>
  <c r="GR91" i="110"/>
  <c r="GZ91" i="110"/>
  <c r="HH91" i="110"/>
  <c r="EZ87" i="110"/>
  <c r="HQ87" i="110"/>
  <c r="IQ87" i="110"/>
  <c r="GK91" i="110"/>
  <c r="GS91" i="110"/>
  <c r="HA91" i="110"/>
  <c r="HI91" i="110"/>
  <c r="HU85" i="110"/>
  <c r="HJ87" i="110"/>
  <c r="HR87" i="110"/>
  <c r="L120" i="109"/>
  <c r="AE47" i="21"/>
  <c r="E226" i="59"/>
  <c r="F226" i="59"/>
  <c r="IA91" i="110"/>
  <c r="IA87" i="110"/>
  <c r="JG82" i="110"/>
  <c r="HS92" i="110"/>
  <c r="HZ86" i="110"/>
  <c r="EU89" i="110"/>
  <c r="EU87" i="110"/>
  <c r="JG70" i="110"/>
  <c r="JD72" i="110"/>
  <c r="JF81" i="110"/>
  <c r="JF69" i="110"/>
  <c r="JF75" i="110"/>
  <c r="JF63" i="110"/>
  <c r="JD74" i="110"/>
  <c r="JF65" i="110"/>
  <c r="JG60" i="110"/>
  <c r="JF72" i="110"/>
  <c r="JG55" i="110"/>
  <c r="JG59" i="110"/>
  <c r="JG77" i="110"/>
  <c r="JG85" i="110"/>
  <c r="JN85" i="110"/>
  <c r="HT92" i="110"/>
  <c r="HT91" i="110"/>
  <c r="HK92" i="110"/>
  <c r="JG83" i="110"/>
  <c r="EI87" i="110"/>
  <c r="HV86" i="110"/>
  <c r="JF73" i="110"/>
  <c r="IW92" i="110"/>
  <c r="JD80" i="110"/>
  <c r="JD58" i="110"/>
  <c r="JF61" i="110"/>
  <c r="IC92" i="110"/>
  <c r="JD60" i="110"/>
  <c r="JF79" i="110"/>
  <c r="JG67" i="110"/>
  <c r="HX92" i="110"/>
  <c r="IX91" i="110"/>
  <c r="JN86" i="110"/>
  <c r="IX87" i="110"/>
  <c r="JF53" i="110"/>
  <c r="JG76" i="110"/>
  <c r="JF58" i="110"/>
  <c r="JG53" i="110"/>
  <c r="HX91" i="110"/>
  <c r="HX87" i="110"/>
  <c r="HL92" i="110"/>
  <c r="HL91" i="110"/>
  <c r="JF80" i="110"/>
  <c r="IT91" i="110"/>
  <c r="IT87" i="110"/>
  <c r="JD79" i="110"/>
  <c r="HS91" i="110"/>
  <c r="JG62" i="110"/>
  <c r="JG54" i="110"/>
  <c r="JG69" i="110"/>
  <c r="JF59" i="110"/>
  <c r="JF57" i="110"/>
  <c r="JG71" i="110"/>
  <c r="JD57" i="110"/>
  <c r="JD78" i="110"/>
  <c r="JE64" i="110"/>
  <c r="HR92" i="110"/>
  <c r="JE66" i="110"/>
  <c r="HP92" i="110"/>
  <c r="HO91" i="110"/>
  <c r="IU91" i="110"/>
  <c r="IU87" i="110"/>
  <c r="JD85" i="110"/>
  <c r="JD55" i="110"/>
  <c r="JD59" i="110"/>
  <c r="JD63" i="110"/>
  <c r="JG74" i="110"/>
  <c r="JF78" i="110"/>
  <c r="JF68" i="110"/>
  <c r="JG57" i="110"/>
  <c r="JG78" i="110"/>
  <c r="JG56" i="110"/>
  <c r="JD68" i="110"/>
  <c r="JD69" i="110"/>
  <c r="JD53" i="110"/>
  <c r="JD65" i="110"/>
  <c r="HZ92" i="110"/>
  <c r="JF55" i="110"/>
  <c r="JF85" i="110"/>
  <c r="JM85" i="110"/>
  <c r="IE92" i="110"/>
  <c r="JD75" i="110"/>
  <c r="JF70" i="110"/>
  <c r="JD81" i="110"/>
  <c r="HY92" i="110"/>
  <c r="JF74" i="110"/>
  <c r="IX92" i="110"/>
  <c r="JF56" i="110"/>
  <c r="JD77" i="110"/>
  <c r="JG63" i="110"/>
  <c r="JG68" i="110"/>
  <c r="IV91" i="110"/>
  <c r="IV87" i="110"/>
  <c r="JK86" i="110"/>
  <c r="JE81" i="110"/>
  <c r="JE61" i="110"/>
  <c r="JF71" i="110"/>
  <c r="JF62" i="110"/>
  <c r="JE79" i="110"/>
  <c r="JG80" i="110"/>
  <c r="JG64" i="110"/>
  <c r="EW89" i="110"/>
  <c r="EW87" i="110"/>
  <c r="IF92" i="110"/>
  <c r="HY91" i="110"/>
  <c r="HY87" i="110"/>
  <c r="IW91" i="110"/>
  <c r="JM86" i="110"/>
  <c r="IW87" i="110"/>
  <c r="FH92" i="110"/>
  <c r="JG66" i="110"/>
  <c r="JD66" i="110"/>
  <c r="JG75" i="110"/>
  <c r="HU92" i="110"/>
  <c r="JG79" i="110"/>
  <c r="JG65" i="110"/>
  <c r="JD62" i="110"/>
  <c r="JF76" i="110"/>
  <c r="JF54" i="110"/>
  <c r="EV89" i="110"/>
  <c r="EV87" i="110"/>
  <c r="HU91" i="110"/>
  <c r="HU87" i="110"/>
  <c r="HW91" i="110"/>
  <c r="HW87" i="110"/>
  <c r="II92" i="110"/>
  <c r="JG81" i="110"/>
  <c r="JD67" i="110"/>
  <c r="JF77" i="110"/>
  <c r="JD73" i="110"/>
  <c r="JG61" i="110"/>
  <c r="IH92" i="110"/>
  <c r="JF64" i="110"/>
  <c r="C21" i="21"/>
  <c r="L35" i="28"/>
  <c r="L36" i="28"/>
  <c r="HZ91" i="110"/>
  <c r="HZ87" i="110"/>
  <c r="HV91" i="110"/>
  <c r="HV87" i="110"/>
  <c r="AF39" i="21"/>
  <c r="AF51" i="21" s="1"/>
  <c r="M5" i="72"/>
  <c r="M8" i="72" s="1"/>
  <c r="B6" i="72"/>
  <c r="C6" i="72"/>
  <c r="N6" i="72"/>
  <c r="O6" i="72"/>
  <c r="L7" i="72"/>
  <c r="M7" i="72"/>
  <c r="M10" i="72" s="1"/>
  <c r="G8" i="72"/>
  <c r="H8" i="72"/>
  <c r="I8" i="72"/>
  <c r="J8" i="72"/>
  <c r="K8" i="72"/>
  <c r="L8" i="72"/>
  <c r="O8" i="72"/>
  <c r="G9" i="72"/>
  <c r="H9" i="72"/>
  <c r="I9" i="72"/>
  <c r="J9" i="72"/>
  <c r="K9" i="72"/>
  <c r="L9" i="72"/>
  <c r="M9" i="72"/>
  <c r="N9" i="72"/>
  <c r="O9" i="72"/>
  <c r="G10" i="72"/>
  <c r="H10" i="72"/>
  <c r="I10" i="72"/>
  <c r="J10" i="72"/>
  <c r="K10" i="72"/>
  <c r="L10" i="72"/>
  <c r="N10" i="72"/>
  <c r="O10" i="72"/>
  <c r="FP38" i="70"/>
  <c r="KJ34" i="70"/>
  <c r="KJ6" i="70"/>
  <c r="HU40" i="70"/>
  <c r="HT40" i="70"/>
  <c r="HR40" i="70"/>
  <c r="HQ40" i="70"/>
  <c r="HP40" i="70"/>
  <c r="HO40" i="70"/>
  <c r="HN40" i="70"/>
  <c r="HM40" i="70"/>
  <c r="HL40" i="70"/>
  <c r="HK40" i="70"/>
  <c r="HJ40" i="70"/>
  <c r="HI40" i="70"/>
  <c r="HH40" i="70"/>
  <c r="HG40" i="70"/>
  <c r="HF40" i="70"/>
  <c r="HE40" i="70"/>
  <c r="HD40" i="70"/>
  <c r="HC40" i="70"/>
  <c r="HB40" i="70"/>
  <c r="HA40" i="70"/>
  <c r="GZ40" i="70"/>
  <c r="GY40" i="70"/>
  <c r="GX40" i="70"/>
  <c r="GW40" i="70"/>
  <c r="GV40" i="70"/>
  <c r="GU40" i="70"/>
  <c r="GT40" i="70"/>
  <c r="GS40" i="70"/>
  <c r="D43" i="70"/>
  <c r="KK34" i="70"/>
  <c r="FQ38" i="70"/>
  <c r="FQ39" i="70" s="1"/>
  <c r="KK6" i="70"/>
  <c r="KB6" i="70"/>
  <c r="IS7" i="70"/>
  <c r="IT7" i="70"/>
  <c r="IU7" i="70"/>
  <c r="IV7" i="70"/>
  <c r="IS9" i="70"/>
  <c r="IT9" i="70"/>
  <c r="IU9" i="70"/>
  <c r="IV9" i="70"/>
  <c r="IS8" i="70"/>
  <c r="IT8" i="70"/>
  <c r="IU8" i="70"/>
  <c r="IV8" i="70"/>
  <c r="IS10" i="70"/>
  <c r="IT10" i="70"/>
  <c r="IU10" i="70"/>
  <c r="IV10" i="70"/>
  <c r="IS14" i="70"/>
  <c r="IT14" i="70"/>
  <c r="IU14" i="70"/>
  <c r="IV14" i="70"/>
  <c r="IS19" i="70"/>
  <c r="IT19" i="70"/>
  <c r="IU19" i="70"/>
  <c r="IV19" i="70"/>
  <c r="IS11" i="70"/>
  <c r="IT11" i="70"/>
  <c r="IU11" i="70"/>
  <c r="IV11" i="70"/>
  <c r="IS25" i="70"/>
  <c r="IT25" i="70"/>
  <c r="IU25" i="70"/>
  <c r="IV25" i="70"/>
  <c r="IS20" i="70"/>
  <c r="IT20" i="70"/>
  <c r="IU20" i="70"/>
  <c r="IV20" i="70"/>
  <c r="IS12" i="70"/>
  <c r="IT12" i="70"/>
  <c r="IU12" i="70"/>
  <c r="IV12" i="70"/>
  <c r="IS13" i="70"/>
  <c r="IT13" i="70"/>
  <c r="IU13" i="70"/>
  <c r="IV13" i="70"/>
  <c r="IS16" i="70"/>
  <c r="IT16" i="70"/>
  <c r="IU16" i="70"/>
  <c r="IV16" i="70"/>
  <c r="IS22" i="70"/>
  <c r="IT22" i="70"/>
  <c r="IU22" i="70"/>
  <c r="IV22" i="70"/>
  <c r="IS18" i="70"/>
  <c r="IT18" i="70"/>
  <c r="IU18" i="70"/>
  <c r="IV18" i="70"/>
  <c r="IS21" i="70"/>
  <c r="IT21" i="70"/>
  <c r="IU21" i="70"/>
  <c r="IV21" i="70"/>
  <c r="IS15" i="70"/>
  <c r="IT15" i="70"/>
  <c r="IU15" i="70"/>
  <c r="IV15" i="70"/>
  <c r="IS17" i="70"/>
  <c r="IT17" i="70"/>
  <c r="IU17" i="70"/>
  <c r="IV17" i="70"/>
  <c r="IS23" i="70"/>
  <c r="IT23" i="70"/>
  <c r="IU23" i="70"/>
  <c r="IV23" i="70"/>
  <c r="IS36" i="70"/>
  <c r="IT36" i="70"/>
  <c r="IU36" i="70"/>
  <c r="IV36" i="70"/>
  <c r="IS29" i="70"/>
  <c r="IT29" i="70"/>
  <c r="IU29" i="70"/>
  <c r="IV29" i="70"/>
  <c r="IS26" i="70"/>
  <c r="IT26" i="70"/>
  <c r="IU26" i="70"/>
  <c r="IV26" i="70"/>
  <c r="IS35" i="70"/>
  <c r="IT35" i="70"/>
  <c r="IU35" i="70"/>
  <c r="IV35" i="70"/>
  <c r="IS24" i="70"/>
  <c r="IT24" i="70"/>
  <c r="IU24" i="70"/>
  <c r="IV24" i="70"/>
  <c r="IS28" i="70"/>
  <c r="IT28" i="70"/>
  <c r="IU28" i="70"/>
  <c r="IV28" i="70"/>
  <c r="IS37" i="70"/>
  <c r="IT37" i="70"/>
  <c r="IU37" i="70"/>
  <c r="IV37" i="70"/>
  <c r="IS30" i="70"/>
  <c r="IT30" i="70"/>
  <c r="IU30" i="70"/>
  <c r="IV30" i="70"/>
  <c r="IS27" i="70"/>
  <c r="IT27" i="70"/>
  <c r="IU27" i="70"/>
  <c r="IV27" i="70"/>
  <c r="IS31" i="70"/>
  <c r="IT31" i="70"/>
  <c r="IU31" i="70"/>
  <c r="IV31" i="70"/>
  <c r="IS32" i="70"/>
  <c r="IT32" i="70"/>
  <c r="IU32" i="70"/>
  <c r="IV32" i="70"/>
  <c r="IS33" i="70"/>
  <c r="IT33" i="70"/>
  <c r="IU33" i="70"/>
  <c r="IV33" i="70"/>
  <c r="FU45" i="70"/>
  <c r="FW45" i="70"/>
  <c r="C29" i="75"/>
  <c r="K64" i="28"/>
  <c r="J32" i="75"/>
  <c r="K65" i="28"/>
  <c r="O14" i="9"/>
  <c r="K66" i="28"/>
  <c r="K32" i="75"/>
  <c r="I9" i="28"/>
  <c r="J109" i="28"/>
  <c r="K109" i="28"/>
  <c r="L112" i="28" s="1"/>
  <c r="K95" i="28"/>
  <c r="K97" i="28"/>
  <c r="K99" i="28"/>
  <c r="K101" i="28"/>
  <c r="K103" i="28"/>
  <c r="E32" i="75"/>
  <c r="J64" i="28"/>
  <c r="J29" i="75" s="1"/>
  <c r="J65" i="28"/>
  <c r="L29" i="75" s="1"/>
  <c r="J66" i="28"/>
  <c r="K29" i="75" s="1"/>
  <c r="J49" i="28"/>
  <c r="AF38" i="21"/>
  <c r="AF49" i="21" s="1"/>
  <c r="AF37" i="21"/>
  <c r="AF47" i="21" s="1"/>
  <c r="AF36" i="21"/>
  <c r="AF45" i="21" s="1"/>
  <c r="AF35" i="21"/>
  <c r="AF43" i="21" s="1"/>
  <c r="AF34" i="21"/>
  <c r="AF41" i="21" s="1"/>
  <c r="FR38" i="70"/>
  <c r="FS38" i="70"/>
  <c r="FS39" i="70" s="1"/>
  <c r="FT38" i="70"/>
  <c r="FT39" i="70" s="1"/>
  <c r="FU38" i="70"/>
  <c r="FU39" i="70" s="1"/>
  <c r="FU44" i="70" s="1"/>
  <c r="FV38" i="70"/>
  <c r="FV39" i="70" s="1"/>
  <c r="FW38" i="70"/>
  <c r="FW39" i="70" s="1"/>
  <c r="FX38" i="70"/>
  <c r="FX39" i="70" s="1"/>
  <c r="R2" i="21"/>
  <c r="R8" i="21" s="1"/>
  <c r="C251" i="59"/>
  <c r="C254" i="59" s="1"/>
  <c r="C250" i="59"/>
  <c r="C253" i="59" s="1"/>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D242" i="59" s="1"/>
  <c r="C226" i="59"/>
  <c r="P225" i="59"/>
  <c r="P241" i="59" s="1"/>
  <c r="O225" i="59"/>
  <c r="P224" i="59"/>
  <c r="O224" i="59"/>
  <c r="P223" i="59"/>
  <c r="O223" i="59"/>
  <c r="AY12" i="21"/>
  <c r="AY11" i="21"/>
  <c r="AY6" i="21"/>
  <c r="AX5" i="21"/>
  <c r="AX7" i="21"/>
  <c r="AX8" i="21"/>
  <c r="AX9" i="21"/>
  <c r="AX10" i="21"/>
  <c r="AX11" i="21"/>
  <c r="AX12" i="21"/>
  <c r="AX4" i="21"/>
  <c r="AW5" i="21"/>
  <c r="AW6" i="21"/>
  <c r="AW7" i="21"/>
  <c r="AW8" i="21"/>
  <c r="AW9" i="21"/>
  <c r="AW10" i="21"/>
  <c r="AW11" i="21"/>
  <c r="AW12" i="21"/>
  <c r="AW4" i="21"/>
  <c r="AE4" i="21"/>
  <c r="AY5" i="21"/>
  <c r="AY8" i="21"/>
  <c r="AY9" i="21"/>
  <c r="AY10" i="21"/>
  <c r="AX6" i="21"/>
  <c r="G34" i="97"/>
  <c r="G50" i="97" s="1"/>
  <c r="G49" i="97"/>
  <c r="F49" i="97"/>
  <c r="H48" i="97"/>
  <c r="L34" i="28" s="1"/>
  <c r="H47" i="97"/>
  <c r="G12" i="97"/>
  <c r="G33" i="97"/>
  <c r="L33" i="28" s="1"/>
  <c r="F33" i="97"/>
  <c r="L32" i="28" s="1"/>
  <c r="G11" i="97"/>
  <c r="L30" i="28" s="1"/>
  <c r="F11" i="97"/>
  <c r="L29" i="28" s="1"/>
  <c r="H38" i="94"/>
  <c r="J40" i="94"/>
  <c r="C31" i="93"/>
  <c r="D31" i="93"/>
  <c r="E31" i="93"/>
  <c r="F31" i="93"/>
  <c r="G31" i="93"/>
  <c r="H31" i="93"/>
  <c r="D11" i="49"/>
  <c r="E11" i="49"/>
  <c r="F11" i="49"/>
  <c r="G11" i="49"/>
  <c r="H11" i="49"/>
  <c r="I11" i="49"/>
  <c r="J11" i="49"/>
  <c r="D105" i="28" s="1"/>
  <c r="K11" i="49"/>
  <c r="T6" i="49" s="1"/>
  <c r="L11" i="49"/>
  <c r="U5" i="49" s="1"/>
  <c r="M11" i="49"/>
  <c r="V7" i="49" s="1"/>
  <c r="N11" i="49"/>
  <c r="W9" i="49" s="1"/>
  <c r="O11" i="49"/>
  <c r="P11" i="49"/>
  <c r="Y8" i="49" s="1"/>
  <c r="Q11" i="49"/>
  <c r="Z8" i="49" s="1"/>
  <c r="C60" i="60"/>
  <c r="D60" i="60"/>
  <c r="E60" i="60"/>
  <c r="F60" i="60"/>
  <c r="G60" i="60"/>
  <c r="H60" i="60"/>
  <c r="I60" i="60"/>
  <c r="D12" i="60"/>
  <c r="E12" i="60"/>
  <c r="F12" i="60"/>
  <c r="G12" i="60"/>
  <c r="H12" i="60"/>
  <c r="I12" i="60"/>
  <c r="C12" i="60"/>
  <c r="F17" i="48"/>
  <c r="IO7" i="70"/>
  <c r="IP7" i="70"/>
  <c r="IQ7" i="70"/>
  <c r="IR7" i="70"/>
  <c r="IO9" i="70"/>
  <c r="IP9" i="70"/>
  <c r="IQ9" i="70"/>
  <c r="IR9" i="70"/>
  <c r="IO8" i="70"/>
  <c r="IP8" i="70"/>
  <c r="IQ8" i="70"/>
  <c r="IR8" i="70"/>
  <c r="IO10" i="70"/>
  <c r="IP10" i="70"/>
  <c r="IQ10" i="70"/>
  <c r="IR10" i="70"/>
  <c r="IO14" i="70"/>
  <c r="IP14" i="70"/>
  <c r="IQ14" i="70"/>
  <c r="IR14" i="70"/>
  <c r="IO19" i="70"/>
  <c r="IP19" i="70"/>
  <c r="IQ19" i="70"/>
  <c r="IR19" i="70"/>
  <c r="IO11" i="70"/>
  <c r="IP11" i="70"/>
  <c r="IQ11" i="70"/>
  <c r="IR11" i="70"/>
  <c r="IO25" i="70"/>
  <c r="IP25" i="70"/>
  <c r="IQ25" i="70"/>
  <c r="IR25" i="70"/>
  <c r="JO6" i="70"/>
  <c r="KK8" i="70"/>
  <c r="KK14" i="70"/>
  <c r="KK19" i="70"/>
  <c r="JO20" i="70"/>
  <c r="KK18" i="70"/>
  <c r="JO15" i="70"/>
  <c r="JO17" i="70"/>
  <c r="JO23" i="70"/>
  <c r="JO36" i="70"/>
  <c r="KK36" i="70" s="1"/>
  <c r="JO29" i="70"/>
  <c r="KK29" i="70" s="1"/>
  <c r="JO26" i="70"/>
  <c r="KK26" i="70" s="1"/>
  <c r="JO35" i="70"/>
  <c r="KK35" i="70" s="1"/>
  <c r="JO24" i="70"/>
  <c r="KK24" i="70" s="1"/>
  <c r="JO28" i="70"/>
  <c r="KK28" i="70" s="1"/>
  <c r="JO37" i="70"/>
  <c r="KK37" i="70" s="1"/>
  <c r="JO30" i="70"/>
  <c r="KK30" i="70" s="1"/>
  <c r="JO27" i="70"/>
  <c r="JV27" i="70" s="1"/>
  <c r="JO31" i="70"/>
  <c r="JO32" i="70"/>
  <c r="KK32" i="70" s="1"/>
  <c r="JO33" i="70"/>
  <c r="IO18" i="70"/>
  <c r="IP18" i="70"/>
  <c r="IQ18" i="70"/>
  <c r="IR18" i="70"/>
  <c r="IO21" i="70"/>
  <c r="IP21" i="70"/>
  <c r="IQ21" i="70"/>
  <c r="IR21" i="70"/>
  <c r="IO15" i="70"/>
  <c r="IP15" i="70"/>
  <c r="IQ15" i="70"/>
  <c r="IR15" i="70"/>
  <c r="IO17" i="70"/>
  <c r="IP17" i="70"/>
  <c r="IQ17" i="70"/>
  <c r="IR17" i="70"/>
  <c r="IO23" i="70"/>
  <c r="IP23" i="70"/>
  <c r="IQ23" i="70"/>
  <c r="IR23" i="70"/>
  <c r="IO36" i="70"/>
  <c r="IP36" i="70"/>
  <c r="IQ36" i="70"/>
  <c r="IR36" i="70"/>
  <c r="IO29" i="70"/>
  <c r="IP29" i="70"/>
  <c r="IQ29" i="70"/>
  <c r="IR29" i="70"/>
  <c r="IO26" i="70"/>
  <c r="IP26" i="70"/>
  <c r="IQ26" i="70"/>
  <c r="IR26" i="70"/>
  <c r="IO35" i="70"/>
  <c r="IP35" i="70"/>
  <c r="IQ35" i="70"/>
  <c r="IR35" i="70"/>
  <c r="IO24" i="70"/>
  <c r="IP24" i="70"/>
  <c r="IQ24" i="70"/>
  <c r="IR24" i="70"/>
  <c r="IO28" i="70"/>
  <c r="IP28" i="70"/>
  <c r="IQ28" i="70"/>
  <c r="IR28" i="70"/>
  <c r="IO37" i="70"/>
  <c r="IP37" i="70"/>
  <c r="IQ37" i="70"/>
  <c r="IR37" i="70"/>
  <c r="IO30" i="70"/>
  <c r="IP30" i="70"/>
  <c r="IQ30" i="70"/>
  <c r="IR30" i="70"/>
  <c r="IO27" i="70"/>
  <c r="IP27" i="70"/>
  <c r="IQ27" i="70"/>
  <c r="IR27" i="70"/>
  <c r="IO31" i="70"/>
  <c r="IP31" i="70"/>
  <c r="IQ31" i="70"/>
  <c r="IR31" i="70"/>
  <c r="IO32" i="70"/>
  <c r="IP32" i="70"/>
  <c r="IQ32" i="70"/>
  <c r="IR32" i="70"/>
  <c r="IO33" i="70"/>
  <c r="IP33" i="70"/>
  <c r="IQ33" i="70"/>
  <c r="IR33" i="70"/>
  <c r="IR22" i="70"/>
  <c r="IQ22" i="70"/>
  <c r="IO12" i="70"/>
  <c r="IP12" i="70"/>
  <c r="IQ12" i="70"/>
  <c r="IR12" i="70"/>
  <c r="IO13" i="70"/>
  <c r="IP13" i="70"/>
  <c r="IQ13" i="70"/>
  <c r="IR13" i="70"/>
  <c r="IO16" i="70"/>
  <c r="IP16" i="70"/>
  <c r="IQ16" i="70"/>
  <c r="IR16" i="70"/>
  <c r="IO22" i="70"/>
  <c r="IP22" i="70"/>
  <c r="IR20" i="70"/>
  <c r="IQ20" i="70"/>
  <c r="IP20" i="70"/>
  <c r="IO20" i="70"/>
  <c r="FO38" i="70"/>
  <c r="FO39" i="70" s="1"/>
  <c r="FO44" i="70" s="1"/>
  <c r="FN38" i="70"/>
  <c r="FN39" i="70" s="1"/>
  <c r="FM38" i="70"/>
  <c r="FM39" i="70" s="1"/>
  <c r="FL38" i="70"/>
  <c r="FL39" i="70" s="1"/>
  <c r="FK38" i="70"/>
  <c r="FK39" i="70" s="1"/>
  <c r="FJ38" i="70"/>
  <c r="FJ39" i="70" s="1"/>
  <c r="FJ42" i="70" s="1"/>
  <c r="FI38" i="70"/>
  <c r="FI39" i="70" s="1"/>
  <c r="FH38" i="70"/>
  <c r="FH39" i="70" s="1"/>
  <c r="FG38" i="70"/>
  <c r="FG39" i="70" s="1"/>
  <c r="FF38" i="70"/>
  <c r="FF39" i="70" s="1"/>
  <c r="FF42" i="70" s="1"/>
  <c r="FE38" i="70"/>
  <c r="FD38" i="70"/>
  <c r="FD39" i="70" s="1"/>
  <c r="FD42" i="70" s="1"/>
  <c r="ER38" i="70"/>
  <c r="EU38" i="70"/>
  <c r="ET38" i="70"/>
  <c r="ET39" i="70" s="1"/>
  <c r="FC38" i="70"/>
  <c r="FC39" i="70" s="1"/>
  <c r="FB38" i="70"/>
  <c r="FB39" i="70" s="1"/>
  <c r="FB42" i="70" s="1"/>
  <c r="FA38" i="70"/>
  <c r="FA39" i="70" s="1"/>
  <c r="FA42" i="70" s="1"/>
  <c r="KI6" i="70"/>
  <c r="KA6" i="70"/>
  <c r="E29" i="75"/>
  <c r="H214" i="59"/>
  <c r="G214" i="59"/>
  <c r="F214" i="59"/>
  <c r="E214" i="59"/>
  <c r="D214" i="59"/>
  <c r="D231" i="59" s="1"/>
  <c r="C214" i="59"/>
  <c r="H16" i="21"/>
  <c r="H20" i="21" s="1"/>
  <c r="C57" i="28" s="1"/>
  <c r="J16" i="21"/>
  <c r="J41" i="21" s="1"/>
  <c r="K16" i="21"/>
  <c r="K43" i="21" s="1"/>
  <c r="M16" i="21"/>
  <c r="M53" i="21" s="1"/>
  <c r="N16" i="21"/>
  <c r="AQ8" i="21" s="1"/>
  <c r="L38" i="21"/>
  <c r="M38" i="21" s="1"/>
  <c r="I51" i="28"/>
  <c r="H51" i="28"/>
  <c r="I49" i="28"/>
  <c r="J95" i="28"/>
  <c r="J97" i="28"/>
  <c r="J99" i="28"/>
  <c r="J101" i="28"/>
  <c r="J103" i="28"/>
  <c r="C33" i="97"/>
  <c r="D33" i="97" s="1"/>
  <c r="B33" i="97"/>
  <c r="D32" i="97"/>
  <c r="D31" i="97"/>
  <c r="D30" i="97"/>
  <c r="C49" i="97"/>
  <c r="B49" i="97"/>
  <c r="D29" i="97"/>
  <c r="D48" i="97"/>
  <c r="D28" i="97"/>
  <c r="D47" i="97"/>
  <c r="C11" i="97"/>
  <c r="B11" i="97"/>
  <c r="I40" i="94"/>
  <c r="G40" i="94"/>
  <c r="I38" i="94"/>
  <c r="G38" i="94"/>
  <c r="I30" i="94"/>
  <c r="G30" i="94"/>
  <c r="I28" i="94"/>
  <c r="J28" i="94" s="1"/>
  <c r="G28" i="94"/>
  <c r="F8" i="50"/>
  <c r="E8" i="50"/>
  <c r="D8" i="50"/>
  <c r="C8" i="50"/>
  <c r="F5" i="50"/>
  <c r="F4" i="50" s="1"/>
  <c r="E5" i="50"/>
  <c r="E4" i="50" s="1"/>
  <c r="D5" i="50"/>
  <c r="C5" i="50"/>
  <c r="C32" i="49"/>
  <c r="V8" i="49"/>
  <c r="W4" i="49"/>
  <c r="T8" i="49"/>
  <c r="X4" i="49"/>
  <c r="X9" i="49"/>
  <c r="W8" i="49"/>
  <c r="X11" i="49"/>
  <c r="X7" i="49"/>
  <c r="X8" i="49"/>
  <c r="X5" i="49"/>
  <c r="X6" i="49"/>
  <c r="F16" i="48"/>
  <c r="C25" i="48"/>
  <c r="F15" i="48"/>
  <c r="F14" i="48"/>
  <c r="F13" i="48"/>
  <c r="F12" i="48"/>
  <c r="F9" i="48"/>
  <c r="F8" i="48"/>
  <c r="F5" i="48"/>
  <c r="F6" i="48"/>
  <c r="F10" i="48"/>
  <c r="F7" i="48"/>
  <c r="I65" i="28"/>
  <c r="N218" i="59"/>
  <c r="M218" i="59"/>
  <c r="L218" i="59"/>
  <c r="N217" i="59"/>
  <c r="M217" i="59"/>
  <c r="L217" i="59"/>
  <c r="L205" i="59"/>
  <c r="M205" i="59"/>
  <c r="N205" i="59"/>
  <c r="L206" i="59"/>
  <c r="M206" i="59"/>
  <c r="N206" i="59"/>
  <c r="I214" i="59"/>
  <c r="J214" i="59"/>
  <c r="K214" i="59"/>
  <c r="K231" i="59" s="1"/>
  <c r="L214" i="59"/>
  <c r="M214" i="59"/>
  <c r="M231" i="59" s="1"/>
  <c r="N214" i="59"/>
  <c r="N231" i="59" s="1"/>
  <c r="P213" i="59"/>
  <c r="O213" i="59"/>
  <c r="P212" i="59"/>
  <c r="O212" i="59"/>
  <c r="P211" i="59"/>
  <c r="P214" i="59" s="1"/>
  <c r="O211" i="59"/>
  <c r="C217" i="59"/>
  <c r="K218" i="59"/>
  <c r="J218" i="59"/>
  <c r="I218" i="59"/>
  <c r="H218" i="59"/>
  <c r="G218" i="59"/>
  <c r="F218" i="59"/>
  <c r="E218" i="59"/>
  <c r="D218" i="59"/>
  <c r="C218" i="59"/>
  <c r="K217" i="59"/>
  <c r="J217" i="59"/>
  <c r="I217" i="59"/>
  <c r="H217" i="59"/>
  <c r="G217" i="59"/>
  <c r="F217" i="59"/>
  <c r="E217" i="59"/>
  <c r="D217" i="59"/>
  <c r="C205" i="59"/>
  <c r="AV6" i="21"/>
  <c r="AV5" i="21"/>
  <c r="AU5" i="21"/>
  <c r="AU6" i="21"/>
  <c r="AU4" i="21"/>
  <c r="AT5" i="21"/>
  <c r="AT6" i="21"/>
  <c r="AT4" i="21"/>
  <c r="Z16" i="21"/>
  <c r="L202" i="59"/>
  <c r="K202" i="59"/>
  <c r="J202" i="59"/>
  <c r="I202" i="59"/>
  <c r="H202" i="59"/>
  <c r="G202" i="59"/>
  <c r="F202" i="59"/>
  <c r="F219" i="59" s="1"/>
  <c r="E202" i="59"/>
  <c r="D202" i="59"/>
  <c r="C202" i="59"/>
  <c r="C263" i="59" s="1"/>
  <c r="O199" i="59"/>
  <c r="P199" i="59"/>
  <c r="O200" i="59"/>
  <c r="P200" i="59"/>
  <c r="O201" i="59"/>
  <c r="P201" i="59"/>
  <c r="K205" i="59"/>
  <c r="K206" i="59"/>
  <c r="JN28" i="70"/>
  <c r="KJ28" i="70" s="1"/>
  <c r="JN15" i="70"/>
  <c r="JN30" i="70"/>
  <c r="KJ30" i="70" s="1"/>
  <c r="JN23" i="70"/>
  <c r="KI23" i="70" s="1"/>
  <c r="JN26" i="70"/>
  <c r="KJ26" i="70" s="1"/>
  <c r="JN29" i="70"/>
  <c r="KI29" i="70" s="1"/>
  <c r="JN24" i="70"/>
  <c r="KI24" i="70" s="1"/>
  <c r="JN37" i="70"/>
  <c r="JN17" i="70"/>
  <c r="KJ17" i="70" s="1"/>
  <c r="JN20" i="70"/>
  <c r="KI20" i="70" s="1"/>
  <c r="JN33" i="70"/>
  <c r="KJ33" i="70" s="1"/>
  <c r="JN35" i="70"/>
  <c r="KJ35" i="70" s="1"/>
  <c r="JN6" i="70"/>
  <c r="JN32" i="70"/>
  <c r="KI32" i="70" s="1"/>
  <c r="JN31" i="70"/>
  <c r="KI31" i="70" s="1"/>
  <c r="JN27" i="70"/>
  <c r="JN36" i="70"/>
  <c r="W13" i="21"/>
  <c r="W14" i="21"/>
  <c r="X14" i="21" s="1"/>
  <c r="W15" i="21"/>
  <c r="X15" i="21" s="1"/>
  <c r="KI9" i="70"/>
  <c r="KJ37" i="70"/>
  <c r="KI14" i="70"/>
  <c r="KJ14" i="70"/>
  <c r="KJ36" i="70"/>
  <c r="KJ27" i="70"/>
  <c r="KJ19" i="70"/>
  <c r="KJ16" i="70"/>
  <c r="H28" i="98"/>
  <c r="H27" i="98"/>
  <c r="CD9" i="62"/>
  <c r="CD10" i="62"/>
  <c r="CD11" i="62"/>
  <c r="CD12" i="62"/>
  <c r="CD13" i="62"/>
  <c r="CD14" i="62"/>
  <c r="CD15" i="62"/>
  <c r="CD16" i="62"/>
  <c r="CD8" i="62"/>
  <c r="CC19" i="62"/>
  <c r="CC18" i="62"/>
  <c r="CC17" i="62"/>
  <c r="CM3" i="62"/>
  <c r="CL3" i="62"/>
  <c r="CK3" i="62"/>
  <c r="I205" i="59"/>
  <c r="J205" i="59"/>
  <c r="I206" i="59"/>
  <c r="J206" i="59"/>
  <c r="I95" i="28"/>
  <c r="I97" i="28"/>
  <c r="I99" i="28"/>
  <c r="I101" i="28"/>
  <c r="I103" i="28"/>
  <c r="I105" i="28"/>
  <c r="I111" i="28"/>
  <c r="I110" i="28"/>
  <c r="I109" i="28"/>
  <c r="F205" i="59"/>
  <c r="G205" i="59"/>
  <c r="F206" i="59"/>
  <c r="G206" i="59"/>
  <c r="H205" i="59"/>
  <c r="H206" i="59"/>
  <c r="N190" i="59"/>
  <c r="M190" i="59"/>
  <c r="L190" i="59"/>
  <c r="K190" i="59"/>
  <c r="J190" i="59"/>
  <c r="I190" i="59"/>
  <c r="H190" i="59"/>
  <c r="G190" i="59"/>
  <c r="F190" i="59"/>
  <c r="E190" i="59"/>
  <c r="D190" i="59"/>
  <c r="C190" i="59"/>
  <c r="E206" i="59"/>
  <c r="D206" i="59"/>
  <c r="C206" i="59"/>
  <c r="E205" i="59"/>
  <c r="D205" i="59"/>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K31" i="14"/>
  <c r="M28" i="14"/>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c r="J10" i="13"/>
  <c r="N18" i="12"/>
  <c r="K18" i="12"/>
  <c r="M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7" i="10"/>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17" i="9" s="1"/>
  <c r="H18" i="9" s="1"/>
  <c r="D67" i="28" s="1"/>
  <c r="F25" i="9"/>
  <c r="F17" i="9" s="1"/>
  <c r="F18" i="9" s="1"/>
  <c r="E25" i="9"/>
  <c r="E17" i="9" s="1"/>
  <c r="E18" i="9" s="1"/>
  <c r="D25" i="9"/>
  <c r="D27" i="9" s="1"/>
  <c r="C25" i="9"/>
  <c r="C17" i="9" s="1"/>
  <c r="C18" i="9" s="1"/>
  <c r="B25" i="9"/>
  <c r="B27" i="9" s="1"/>
  <c r="A25" i="9"/>
  <c r="L14" i="9"/>
  <c r="K14" i="9"/>
  <c r="M14" i="9" s="1"/>
  <c r="J12" i="9"/>
  <c r="K12" i="9" s="1"/>
  <c r="L12" i="9" s="1"/>
  <c r="M12" i="9" s="1"/>
  <c r="J10" i="9"/>
  <c r="K10" i="9" s="1"/>
  <c r="L10" i="9" s="1"/>
  <c r="M10" i="9" s="1"/>
  <c r="J9" i="9"/>
  <c r="K9" i="9" s="1"/>
  <c r="L9" i="9" s="1"/>
  <c r="M9" i="9" s="1"/>
  <c r="J8" i="9"/>
  <c r="K8" i="9" s="1"/>
  <c r="L8" i="9" s="1"/>
  <c r="M8" i="9" s="1"/>
  <c r="P36" i="64"/>
  <c r="O36" i="64"/>
  <c r="N36" i="64"/>
  <c r="F36" i="64"/>
  <c r="D36" i="64"/>
  <c r="H35" i="64"/>
  <c r="T35" i="64"/>
  <c r="N34" i="64"/>
  <c r="H34" i="64"/>
  <c r="T34" i="64"/>
  <c r="F34" i="64"/>
  <c r="D34" i="64"/>
  <c r="H33" i="64"/>
  <c r="T33" i="64"/>
  <c r="F33" i="64"/>
  <c r="D33" i="64"/>
  <c r="T32" i="64"/>
  <c r="H32" i="64"/>
  <c r="F32" i="64"/>
  <c r="D32" i="64"/>
  <c r="T31" i="64"/>
  <c r="N31" i="64"/>
  <c r="H31" i="64"/>
  <c r="F31" i="64"/>
  <c r="D31" i="64"/>
  <c r="N30" i="64"/>
  <c r="H30" i="64"/>
  <c r="T30" i="64"/>
  <c r="F30" i="64"/>
  <c r="D30" i="64"/>
  <c r="N29" i="64"/>
  <c r="H29" i="64"/>
  <c r="T29" i="64"/>
  <c r="F29" i="64"/>
  <c r="D29" i="64"/>
  <c r="N28" i="64"/>
  <c r="H28" i="64"/>
  <c r="T28" i="64"/>
  <c r="F28" i="64"/>
  <c r="D28" i="64"/>
  <c r="N27" i="64"/>
  <c r="H27" i="64"/>
  <c r="T27" i="64"/>
  <c r="F27" i="64"/>
  <c r="D27" i="64"/>
  <c r="N26" i="64"/>
  <c r="H26" i="64"/>
  <c r="T26" i="64"/>
  <c r="F26" i="64"/>
  <c r="D26" i="64"/>
  <c r="N25" i="64"/>
  <c r="H25" i="64"/>
  <c r="T25" i="64"/>
  <c r="F25" i="64"/>
  <c r="D25" i="64"/>
  <c r="N24" i="64"/>
  <c r="H24" i="64"/>
  <c r="T24" i="64"/>
  <c r="F24" i="64"/>
  <c r="D24" i="64"/>
  <c r="T23" i="64"/>
  <c r="N23" i="64"/>
  <c r="H23" i="64"/>
  <c r="F23" i="64"/>
  <c r="D23" i="64"/>
  <c r="N22" i="64"/>
  <c r="H22" i="64"/>
  <c r="T22" i="64"/>
  <c r="F22" i="64"/>
  <c r="D22" i="64"/>
  <c r="N21" i="64"/>
  <c r="H21" i="64"/>
  <c r="T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c r="F13" i="64"/>
  <c r="D13" i="64"/>
  <c r="N12" i="64"/>
  <c r="V15" i="77"/>
  <c r="W15" i="77"/>
  <c r="H12" i="64" s="1"/>
  <c r="T12" i="64" s="1"/>
  <c r="F12" i="64"/>
  <c r="D12" i="64"/>
  <c r="R72" i="77"/>
  <c r="P66" i="77"/>
  <c r="R65" i="77"/>
  <c r="J63" i="77"/>
  <c r="P57" i="77"/>
  <c r="U13" i="77" s="1"/>
  <c r="R56" i="77"/>
  <c r="J56" i="77"/>
  <c r="P52" i="77"/>
  <c r="R51" i="77"/>
  <c r="J48" i="77"/>
  <c r="J71" i="77" s="1"/>
  <c r="P46" i="77"/>
  <c r="R45" i="77"/>
  <c r="J41" i="77"/>
  <c r="P39" i="77"/>
  <c r="P32" i="77"/>
  <c r="R31" i="77"/>
  <c r="R30" i="77"/>
  <c r="R29" i="77"/>
  <c r="U15" i="77"/>
  <c r="T15" i="77"/>
  <c r="U14" i="77"/>
  <c r="T14" i="77"/>
  <c r="T13" i="77"/>
  <c r="T12" i="77"/>
  <c r="U11" i="77"/>
  <c r="T11" i="77"/>
  <c r="U10" i="77"/>
  <c r="T10" i="77"/>
  <c r="P10" i="77"/>
  <c r="U8" i="77" s="1"/>
  <c r="U9" i="77"/>
  <c r="T9" i="77"/>
  <c r="J9" i="77"/>
  <c r="AA8" i="77"/>
  <c r="AB55" i="77" s="1"/>
  <c r="AB45" i="77"/>
  <c r="T8" i="77"/>
  <c r="Z5" i="77"/>
  <c r="Q59" i="71"/>
  <c r="R59" i="71"/>
  <c r="S59" i="7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S57" i="71"/>
  <c r="C57" i="71"/>
  <c r="B57" i="71"/>
  <c r="A57" i="71"/>
  <c r="Q52" i="71"/>
  <c r="P52" i="71"/>
  <c r="O52" i="71"/>
  <c r="N52" i="71"/>
  <c r="M52" i="71"/>
  <c r="L52" i="71"/>
  <c r="K52" i="71"/>
  <c r="J52" i="71"/>
  <c r="I52" i="71"/>
  <c r="R52" i="71"/>
  <c r="S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c r="J39" i="71"/>
  <c r="I39" i="71"/>
  <c r="H39" i="71"/>
  <c r="G39" i="71"/>
  <c r="F39" i="71"/>
  <c r="E39" i="71"/>
  <c r="D39" i="71"/>
  <c r="C39" i="71"/>
  <c r="B39" i="71"/>
  <c r="A39" i="71"/>
  <c r="Q38" i="71"/>
  <c r="P38" i="71"/>
  <c r="O38" i="71"/>
  <c r="N38" i="71"/>
  <c r="M38" i="71"/>
  <c r="L38" i="71"/>
  <c r="S38" i="71"/>
  <c r="U38" i="71"/>
  <c r="K38" i="71"/>
  <c r="J38" i="71"/>
  <c r="I38" i="71"/>
  <c r="H38" i="71"/>
  <c r="G38" i="71"/>
  <c r="F38" i="71"/>
  <c r="E38" i="71"/>
  <c r="D38" i="71"/>
  <c r="C38" i="71"/>
  <c r="B38" i="71"/>
  <c r="A38" i="71"/>
  <c r="Q37" i="71"/>
  <c r="P37" i="71"/>
  <c r="O37" i="71"/>
  <c r="N37" i="71"/>
  <c r="M37" i="71"/>
  <c r="L37" i="71"/>
  <c r="K37" i="71"/>
  <c r="J37" i="71"/>
  <c r="S37" i="71"/>
  <c r="U37" i="71"/>
  <c r="I37" i="71"/>
  <c r="H37" i="71"/>
  <c r="G37" i="71"/>
  <c r="F37" i="71"/>
  <c r="E37" i="71"/>
  <c r="D37" i="71"/>
  <c r="C37" i="71"/>
  <c r="B37" i="71"/>
  <c r="A37" i="71"/>
  <c r="T36" i="71"/>
  <c r="Q36" i="71"/>
  <c r="P36" i="71"/>
  <c r="O36" i="71"/>
  <c r="N36" i="71"/>
  <c r="M36" i="71"/>
  <c r="L36" i="71"/>
  <c r="S36" i="71"/>
  <c r="U36" i="71"/>
  <c r="K36" i="71"/>
  <c r="J36" i="71"/>
  <c r="I36" i="71"/>
  <c r="H36" i="71"/>
  <c r="G36" i="71"/>
  <c r="F36" i="71"/>
  <c r="E36" i="71"/>
  <c r="D36" i="71"/>
  <c r="C36" i="71"/>
  <c r="B36" i="71"/>
  <c r="A36" i="71"/>
  <c r="T35" i="71"/>
  <c r="Q35" i="71"/>
  <c r="P35" i="71"/>
  <c r="O35" i="71"/>
  <c r="N35" i="71"/>
  <c r="M35" i="71"/>
  <c r="L35" i="71"/>
  <c r="S35" i="71"/>
  <c r="U35" i="7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c r="U33" i="71"/>
  <c r="I33" i="71"/>
  <c r="H33" i="71"/>
  <c r="G33" i="71"/>
  <c r="F33" i="71"/>
  <c r="E33" i="71"/>
  <c r="D33" i="71"/>
  <c r="C33" i="71"/>
  <c r="B33" i="71"/>
  <c r="A33" i="71"/>
  <c r="T32" i="71"/>
  <c r="Q32" i="71"/>
  <c r="P32" i="71"/>
  <c r="O32" i="71"/>
  <c r="N32" i="71"/>
  <c r="M32" i="71"/>
  <c r="L32" i="71"/>
  <c r="S32" i="71"/>
  <c r="U32" i="7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T29" i="71"/>
  <c r="Q29" i="71"/>
  <c r="P29" i="71"/>
  <c r="O29" i="71"/>
  <c r="N29" i="71"/>
  <c r="M29" i="71"/>
  <c r="L29" i="71"/>
  <c r="K29" i="71"/>
  <c r="S29" i="71"/>
  <c r="U29" i="7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c r="S19" i="71"/>
  <c r="R19" i="71"/>
  <c r="T38" i="71"/>
  <c r="R18" i="71"/>
  <c r="S17" i="71"/>
  <c r="S16" i="71"/>
  <c r="S15" i="71"/>
  <c r="S14" i="71"/>
  <c r="S13" i="71"/>
  <c r="S12" i="71"/>
  <c r="S11" i="71"/>
  <c r="S10" i="71"/>
  <c r="S9" i="71"/>
  <c r="S8" i="71"/>
  <c r="FN6" i="63"/>
  <c r="FM6" i="63"/>
  <c r="FN5" i="63"/>
  <c r="FM5" i="63"/>
  <c r="GO9" i="29"/>
  <c r="H85" i="28" s="1"/>
  <c r="GO8" i="29"/>
  <c r="GO7" i="29"/>
  <c r="H83" i="28" s="1"/>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P18" i="36"/>
  <c r="H90" i="28" s="1"/>
  <c r="P17" i="36"/>
  <c r="I89" i="28"/>
  <c r="P16" i="36"/>
  <c r="D15" i="36"/>
  <c r="H10" i="36"/>
  <c r="D10" i="36"/>
  <c r="AH89" i="62"/>
  <c r="AG89" i="62"/>
  <c r="AF89" i="62"/>
  <c r="AE89" i="62"/>
  <c r="AD89" i="62"/>
  <c r="AC89" i="62"/>
  <c r="AB89" i="62"/>
  <c r="AA89" i="62"/>
  <c r="Z89" i="62"/>
  <c r="Y89" i="62"/>
  <c r="X89" i="62"/>
  <c r="W89" i="62"/>
  <c r="AH82" i="62"/>
  <c r="AG82" i="62"/>
  <c r="AF82" i="62"/>
  <c r="AE82" i="62"/>
  <c r="AD82" i="62"/>
  <c r="AC82" i="62"/>
  <c r="AB82" i="62"/>
  <c r="AA82" i="62"/>
  <c r="Z82" i="62"/>
  <c r="Y82" i="62"/>
  <c r="X82" i="62"/>
  <c r="W82" i="62"/>
  <c r="Z73" i="62"/>
  <c r="Y73" i="62"/>
  <c r="X73" i="62"/>
  <c r="W73" i="62"/>
  <c r="AH66" i="62"/>
  <c r="AH65" i="62" s="1"/>
  <c r="AH73" i="62" s="1"/>
  <c r="AG66" i="62"/>
  <c r="AG65" i="62" s="1"/>
  <c r="AG73" i="62" s="1"/>
  <c r="AF66" i="62"/>
  <c r="AF65" i="62" s="1"/>
  <c r="AF73" i="62" s="1"/>
  <c r="AE66" i="62"/>
  <c r="AE65" i="62" s="1"/>
  <c r="AE73" i="62" s="1"/>
  <c r="AD66" i="62"/>
  <c r="AD65" i="62" s="1"/>
  <c r="AD73" i="62" s="1"/>
  <c r="AC66" i="62"/>
  <c r="AC65" i="62" s="1"/>
  <c r="AC73" i="62" s="1"/>
  <c r="AB66" i="62"/>
  <c r="AB65" i="62" s="1"/>
  <c r="AB73" i="62" s="1"/>
  <c r="AA66" i="62"/>
  <c r="AA65" i="62"/>
  <c r="AA73" i="62" s="1"/>
  <c r="AH54" i="62"/>
  <c r="AG54" i="62"/>
  <c r="AF54" i="62"/>
  <c r="AE54" i="62"/>
  <c r="AD54" i="62"/>
  <c r="AC54" i="62"/>
  <c r="AB54" i="62"/>
  <c r="AA54" i="62"/>
  <c r="Z54" i="62"/>
  <c r="Y54" i="62"/>
  <c r="X54" i="62"/>
  <c r="BU23" i="62"/>
  <c r="AH51" i="62"/>
  <c r="AH50" i="62" s="1"/>
  <c r="AG51" i="62"/>
  <c r="AG50" i="62" s="1"/>
  <c r="AF51" i="62"/>
  <c r="AF50" i="62" s="1"/>
  <c r="AE51" i="62"/>
  <c r="AE50" i="62" s="1"/>
  <c r="AD51" i="62"/>
  <c r="AD50" i="62" s="1"/>
  <c r="AC51" i="62"/>
  <c r="AC50" i="62" s="1"/>
  <c r="AB51" i="62"/>
  <c r="AB50" i="62" s="1"/>
  <c r="AA51" i="62"/>
  <c r="AA50" i="62" s="1"/>
  <c r="Z51" i="62"/>
  <c r="Z50" i="62" s="1"/>
  <c r="Z59" i="62" s="1"/>
  <c r="Y51" i="62"/>
  <c r="Y50" i="62" s="1"/>
  <c r="Y59" i="62" s="1"/>
  <c r="X51" i="62"/>
  <c r="X50" i="62" s="1"/>
  <c r="X59" i="62" s="1"/>
  <c r="W51" i="62"/>
  <c r="W50" i="62" s="1"/>
  <c r="W59" i="62" s="1"/>
  <c r="BL20" i="62"/>
  <c r="BL19" i="62"/>
  <c r="BL18" i="62"/>
  <c r="BL16" i="62"/>
  <c r="BK16" i="62"/>
  <c r="BM16" i="62" s="1"/>
  <c r="BL15" i="62"/>
  <c r="BK15" i="62"/>
  <c r="BM15" i="62" s="1"/>
  <c r="BL14" i="62"/>
  <c r="BK14" i="62"/>
  <c r="BM14" i="62" s="1"/>
  <c r="AG43" i="62"/>
  <c r="AF43" i="62"/>
  <c r="AE43" i="62"/>
  <c r="AD43" i="62"/>
  <c r="AC43" i="62"/>
  <c r="AB43" i="62"/>
  <c r="AA43" i="62"/>
  <c r="Z43" i="62"/>
  <c r="Y43" i="62"/>
  <c r="X43" i="62"/>
  <c r="W43" i="62"/>
  <c r="BL13" i="62"/>
  <c r="BK13" i="62"/>
  <c r="BM13" i="62" s="1"/>
  <c r="BL12" i="62"/>
  <c r="BK12" i="62"/>
  <c r="BM12" i="62" s="1"/>
  <c r="AG41" i="62"/>
  <c r="AF41" i="62"/>
  <c r="AE41" i="62"/>
  <c r="AD41" i="62"/>
  <c r="AC41" i="62"/>
  <c r="AB41" i="62"/>
  <c r="AA41" i="62"/>
  <c r="Z41" i="62"/>
  <c r="Y41" i="62"/>
  <c r="X41" i="62"/>
  <c r="W41" i="62"/>
  <c r="BL11" i="62"/>
  <c r="BK11" i="62"/>
  <c r="BM11" i="62" s="1"/>
  <c r="AV11" i="62"/>
  <c r="AU11" i="62"/>
  <c r="AT11" i="62"/>
  <c r="AS11" i="62"/>
  <c r="AR11" i="62"/>
  <c r="AQ11" i="62"/>
  <c r="AP11" i="62"/>
  <c r="AO11" i="62"/>
  <c r="AN11" i="62"/>
  <c r="AM11" i="62"/>
  <c r="AC39" i="62"/>
  <c r="AC40" i="62" s="1"/>
  <c r="AB39" i="62"/>
  <c r="AB42" i="62" s="1"/>
  <c r="AA39" i="62"/>
  <c r="AA42" i="62" s="1"/>
  <c r="Z39" i="62"/>
  <c r="Z40" i="62" s="1"/>
  <c r="Y39" i="62"/>
  <c r="Y42" i="62" s="1"/>
  <c r="W39" i="62"/>
  <c r="W42" i="62" s="1"/>
  <c r="BL9" i="62"/>
  <c r="BK9" i="62"/>
  <c r="BM9" i="62"/>
  <c r="I9" i="62"/>
  <c r="H9" i="62"/>
  <c r="G9" i="62"/>
  <c r="F9" i="62"/>
  <c r="E9" i="62"/>
  <c r="D9" i="62"/>
  <c r="C9" i="62"/>
  <c r="BL8" i="62"/>
  <c r="BK8" i="62"/>
  <c r="BM8" i="62" s="1"/>
  <c r="AY8" i="62"/>
  <c r="O8" i="62" s="1"/>
  <c r="H79" i="28" s="1"/>
  <c r="AX8" i="62"/>
  <c r="N8" i="62" s="1"/>
  <c r="H78" i="28" s="1"/>
  <c r="AW8" i="62"/>
  <c r="M8" i="62" s="1"/>
  <c r="G79" i="28" s="1"/>
  <c r="AG37" i="62"/>
  <c r="AG39" i="62" s="1"/>
  <c r="AF37" i="62"/>
  <c r="AE35" i="62"/>
  <c r="AC35" i="62"/>
  <c r="AB35" i="62"/>
  <c r="L8" i="62"/>
  <c r="F79" i="28" s="1"/>
  <c r="K8" i="62"/>
  <c r="E79" i="28" s="1"/>
  <c r="J8" i="62"/>
  <c r="D79" i="28" s="1"/>
  <c r="A8" i="62"/>
  <c r="BL7" i="62"/>
  <c r="BK7" i="62"/>
  <c r="BM7" i="62" s="1"/>
  <c r="AY7" i="62"/>
  <c r="O7" i="62" s="1"/>
  <c r="H77" i="28" s="1"/>
  <c r="AX7" i="62"/>
  <c r="N7" i="62" s="1"/>
  <c r="H76" i="28" s="1"/>
  <c r="AW7" i="62"/>
  <c r="M7" i="62" s="1"/>
  <c r="G77" i="28" s="1"/>
  <c r="AG36" i="62"/>
  <c r="L7" i="62"/>
  <c r="F77" i="28" s="1"/>
  <c r="K7" i="62"/>
  <c r="E77" i="28" s="1"/>
  <c r="J7" i="62"/>
  <c r="D77" i="28" s="1"/>
  <c r="A7" i="62"/>
  <c r="BL6" i="62"/>
  <c r="BK6" i="62"/>
  <c r="BM6" i="62" s="1"/>
  <c r="AY6" i="62"/>
  <c r="O6" i="62" s="1"/>
  <c r="H75" i="28" s="1"/>
  <c r="AX6" i="62"/>
  <c r="N6" i="62" s="1"/>
  <c r="H74" i="28" s="1"/>
  <c r="AW6" i="62"/>
  <c r="M6" i="62" s="1"/>
  <c r="G75" i="28" s="1"/>
  <c r="AA35" i="62"/>
  <c r="Z35" i="62"/>
  <c r="Y35" i="62"/>
  <c r="W35" i="62"/>
  <c r="L6" i="62"/>
  <c r="F75" i="28" s="1"/>
  <c r="K6" i="62"/>
  <c r="E75" i="28"/>
  <c r="J6" i="62"/>
  <c r="D75" i="28" s="1"/>
  <c r="A6" i="62"/>
  <c r="BL5" i="62"/>
  <c r="BK5" i="62"/>
  <c r="BM5" i="62" s="1"/>
  <c r="AY5" i="62"/>
  <c r="AZ11" i="62" s="1"/>
  <c r="L5" i="62"/>
  <c r="K5" i="62"/>
  <c r="C13" i="75" s="1"/>
  <c r="J5" i="62"/>
  <c r="D73" i="28" s="1"/>
  <c r="BJ4" i="62"/>
  <c r="BI4" i="62"/>
  <c r="L3" i="62"/>
  <c r="C15" i="75" s="1"/>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K178" i="59"/>
  <c r="J178" i="59"/>
  <c r="I178" i="59"/>
  <c r="H178" i="59"/>
  <c r="G178" i="59"/>
  <c r="F178" i="59"/>
  <c r="E178" i="59"/>
  <c r="E195" i="59" s="1"/>
  <c r="D178" i="59"/>
  <c r="C178" i="59"/>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c r="O165" i="59"/>
  <c r="P164" i="59"/>
  <c r="O164" i="59"/>
  <c r="P163" i="59"/>
  <c r="P166" i="59" s="1"/>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J171" i="59" s="1"/>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E159" i="59" s="1"/>
  <c r="D142" i="59"/>
  <c r="C142" i="59"/>
  <c r="P141" i="59"/>
  <c r="P146" i="59" s="1"/>
  <c r="O141" i="59"/>
  <c r="P140" i="59"/>
  <c r="Y54" i="59" s="1"/>
  <c r="O140" i="59"/>
  <c r="P139" i="59"/>
  <c r="P145" i="59" s="1"/>
  <c r="O139" i="59"/>
  <c r="N134" i="59"/>
  <c r="M134" i="59"/>
  <c r="L134" i="59"/>
  <c r="K134" i="59"/>
  <c r="J134" i="59"/>
  <c r="I134" i="59"/>
  <c r="H134" i="59"/>
  <c r="G134" i="59"/>
  <c r="F134" i="59"/>
  <c r="E134" i="59"/>
  <c r="D134" i="59"/>
  <c r="C134" i="59"/>
  <c r="N130" i="59"/>
  <c r="M130" i="59"/>
  <c r="L130" i="59"/>
  <c r="K130" i="59"/>
  <c r="J130" i="59"/>
  <c r="I130" i="59"/>
  <c r="H130" i="59"/>
  <c r="G130" i="59"/>
  <c r="G147" i="59" s="1"/>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L118" i="59" s="1"/>
  <c r="K115" i="59"/>
  <c r="K118" i="59" s="1"/>
  <c r="J115" i="59"/>
  <c r="J133" i="59" s="1"/>
  <c r="I115" i="59"/>
  <c r="I133" i="59" s="1"/>
  <c r="H115" i="59"/>
  <c r="H118" i="59" s="1"/>
  <c r="G115" i="59"/>
  <c r="G118" i="59" s="1"/>
  <c r="F115" i="59"/>
  <c r="F118" i="59" s="1"/>
  <c r="E115" i="59"/>
  <c r="E133" i="59" s="1"/>
  <c r="D115" i="59"/>
  <c r="D118" i="59" s="1"/>
  <c r="C115" i="59"/>
  <c r="C133" i="59" s="1"/>
  <c r="N110" i="59"/>
  <c r="M110" i="59"/>
  <c r="L110" i="59"/>
  <c r="K110" i="59"/>
  <c r="J110" i="59"/>
  <c r="I110" i="59"/>
  <c r="H110" i="59"/>
  <c r="G110" i="59"/>
  <c r="F110" i="59"/>
  <c r="E110" i="59"/>
  <c r="D110" i="59"/>
  <c r="C110" i="59"/>
  <c r="P105" i="59"/>
  <c r="P110" i="59" s="1"/>
  <c r="O105" i="59"/>
  <c r="P104" i="59"/>
  <c r="V54" i="59" s="1"/>
  <c r="O104" i="59"/>
  <c r="N103" i="59"/>
  <c r="N106" i="59" s="1"/>
  <c r="M103" i="59"/>
  <c r="M106" i="59" s="1"/>
  <c r="L103" i="59"/>
  <c r="K103" i="59"/>
  <c r="K106" i="59" s="1"/>
  <c r="J103" i="59"/>
  <c r="I103" i="59"/>
  <c r="I106" i="59" s="1"/>
  <c r="H103" i="59"/>
  <c r="H106" i="59" s="1"/>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7" i="59" s="1"/>
  <c r="K91" i="59"/>
  <c r="K94" i="59" s="1"/>
  <c r="J91" i="59"/>
  <c r="J97" i="59" s="1"/>
  <c r="I91" i="59"/>
  <c r="I94" i="59" s="1"/>
  <c r="H91" i="59"/>
  <c r="H97" i="59" s="1"/>
  <c r="G91" i="59"/>
  <c r="G97" i="59" s="1"/>
  <c r="F91" i="59"/>
  <c r="F94" i="59" s="1"/>
  <c r="E91"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T53" i="59" s="1"/>
  <c r="O78" i="59"/>
  <c r="H67" i="59"/>
  <c r="H85" i="59" s="1"/>
  <c r="G67" i="59"/>
  <c r="G85" i="59" s="1"/>
  <c r="F67" i="59"/>
  <c r="F85" i="59" s="1"/>
  <c r="E67" i="59"/>
  <c r="E85" i="59" s="1"/>
  <c r="D67" i="59"/>
  <c r="C67" i="59"/>
  <c r="P66" i="59"/>
  <c r="S54" i="59" s="1"/>
  <c r="O66" i="59"/>
  <c r="N65" i="59"/>
  <c r="N68" i="59" s="1"/>
  <c r="M65" i="59"/>
  <c r="M68" i="59" s="1"/>
  <c r="L65" i="59"/>
  <c r="K65" i="59"/>
  <c r="K68" i="59" s="1"/>
  <c r="J65" i="59"/>
  <c r="J68" i="59" s="1"/>
  <c r="I65" i="59"/>
  <c r="I68" i="59" s="1"/>
  <c r="H65" i="59"/>
  <c r="H84" i="59" s="1"/>
  <c r="G65" i="59"/>
  <c r="F65" i="59"/>
  <c r="F84" i="59" s="1"/>
  <c r="E65" i="59"/>
  <c r="E84" i="59" s="1"/>
  <c r="D65" i="59"/>
  <c r="D84" i="59" s="1"/>
  <c r="C65" i="59"/>
  <c r="C84" i="59" s="1"/>
  <c r="N55" i="59"/>
  <c r="N72" i="59" s="1"/>
  <c r="M55" i="59"/>
  <c r="L55" i="59"/>
  <c r="L60" i="59" s="1"/>
  <c r="K55" i="59"/>
  <c r="K72" i="59" s="1"/>
  <c r="J55" i="59"/>
  <c r="J60" i="59" s="1"/>
  <c r="I55" i="59"/>
  <c r="I72" i="59" s="1"/>
  <c r="H55" i="59"/>
  <c r="H60" i="59" s="1"/>
  <c r="G55" i="59"/>
  <c r="G60" i="59" s="1"/>
  <c r="F55" i="59"/>
  <c r="E55" i="59"/>
  <c r="E60" i="59" s="1"/>
  <c r="D55" i="59"/>
  <c r="D60" i="59" s="1"/>
  <c r="C55" i="59"/>
  <c r="C60" i="59" s="1"/>
  <c r="P54" i="59"/>
  <c r="R54" i="59" s="1"/>
  <c r="O54" i="59"/>
  <c r="N53" i="59"/>
  <c r="M53" i="59"/>
  <c r="L53" i="59"/>
  <c r="L59" i="59" s="1"/>
  <c r="K53" i="59"/>
  <c r="K59" i="59" s="1"/>
  <c r="J53" i="59"/>
  <c r="I53" i="59"/>
  <c r="H53" i="59"/>
  <c r="H59" i="59" s="1"/>
  <c r="G53" i="59"/>
  <c r="G59" i="59" s="1"/>
  <c r="F53" i="59"/>
  <c r="F59" i="59" s="1"/>
  <c r="E53" i="59"/>
  <c r="D53" i="59"/>
  <c r="C53" i="59"/>
  <c r="C59" i="59" s="1"/>
  <c r="K46" i="59"/>
  <c r="L43" i="59"/>
  <c r="K43" i="59"/>
  <c r="J43" i="59"/>
  <c r="H43" i="59"/>
  <c r="G43" i="59"/>
  <c r="F43" i="59"/>
  <c r="D43" i="59"/>
  <c r="C43" i="59"/>
  <c r="N42" i="59"/>
  <c r="M42" i="59"/>
  <c r="M47" i="59" s="1"/>
  <c r="I42" i="59"/>
  <c r="I43" i="59" s="1"/>
  <c r="P41" i="59"/>
  <c r="O41" i="59"/>
  <c r="N40" i="59"/>
  <c r="N46" i="59" s="1"/>
  <c r="M40" i="59"/>
  <c r="E40" i="59"/>
  <c r="E43" i="59" s="1"/>
  <c r="N29" i="59"/>
  <c r="N30" i="59" s="1"/>
  <c r="L29" i="59"/>
  <c r="L47" i="59" s="1"/>
  <c r="K29" i="59"/>
  <c r="K30" i="59" s="1"/>
  <c r="J29" i="59"/>
  <c r="J47" i="59" s="1"/>
  <c r="I29" i="59"/>
  <c r="H29" i="59"/>
  <c r="H47" i="59" s="1"/>
  <c r="G29" i="59"/>
  <c r="F29" i="59"/>
  <c r="F47" i="59" s="1"/>
  <c r="E29" i="59"/>
  <c r="E47" i="59" s="1"/>
  <c r="D29" i="59"/>
  <c r="D47" i="59" s="1"/>
  <c r="C29" i="59"/>
  <c r="P28" i="59"/>
  <c r="O28" i="59"/>
  <c r="M27" i="59"/>
  <c r="M30" i="59" s="1"/>
  <c r="L27" i="59"/>
  <c r="L46" i="59" s="1"/>
  <c r="J27" i="59"/>
  <c r="I27" i="59"/>
  <c r="I46" i="59" s="1"/>
  <c r="H27" i="59"/>
  <c r="H46" i="59" s="1"/>
  <c r="G27" i="59"/>
  <c r="G46" i="59" s="1"/>
  <c r="F27" i="59"/>
  <c r="F46" i="59" s="1"/>
  <c r="E27" i="59"/>
  <c r="D27" i="59"/>
  <c r="D46" i="59" s="1"/>
  <c r="C27" i="59"/>
  <c r="C46" i="59" s="1"/>
  <c r="N16" i="59"/>
  <c r="M16" i="59"/>
  <c r="M34" i="59" s="1"/>
  <c r="L16" i="59"/>
  <c r="K16" i="59"/>
  <c r="J16" i="59"/>
  <c r="I16" i="59"/>
  <c r="H16" i="59"/>
  <c r="G16" i="59"/>
  <c r="F16" i="59"/>
  <c r="F17" i="59" s="1"/>
  <c r="E16" i="59"/>
  <c r="E34" i="59" s="1"/>
  <c r="D16" i="59"/>
  <c r="C16" i="59"/>
  <c r="N15" i="59"/>
  <c r="N33" i="59" s="1"/>
  <c r="M15" i="59"/>
  <c r="L15" i="59"/>
  <c r="K15" i="59"/>
  <c r="K33" i="59" s="1"/>
  <c r="J15" i="59"/>
  <c r="I15" i="59"/>
  <c r="H15" i="59"/>
  <c r="G15" i="59"/>
  <c r="F15" i="59"/>
  <c r="F33" i="59" s="1"/>
  <c r="E15" i="59"/>
  <c r="D15" i="59"/>
  <c r="C15" i="59"/>
  <c r="N8" i="59"/>
  <c r="M8" i="59"/>
  <c r="L8" i="59"/>
  <c r="K8" i="59"/>
  <c r="J8" i="59"/>
  <c r="I8" i="59"/>
  <c r="H8" i="59"/>
  <c r="G8" i="59"/>
  <c r="F8" i="59"/>
  <c r="E8" i="59"/>
  <c r="D8" i="59"/>
  <c r="C8" i="59"/>
  <c r="N7" i="59"/>
  <c r="M7" i="59"/>
  <c r="L7" i="59"/>
  <c r="K7" i="59"/>
  <c r="J7" i="59"/>
  <c r="J9" i="59" s="1"/>
  <c r="I7" i="59"/>
  <c r="H7" i="59"/>
  <c r="G7" i="59"/>
  <c r="F7" i="59"/>
  <c r="E7" i="59"/>
  <c r="D7" i="59"/>
  <c r="C7" i="59"/>
  <c r="FC43" i="70"/>
  <c r="FB43" i="70"/>
  <c r="FA43" i="70"/>
  <c r="FM45" i="70" s="1"/>
  <c r="EZ43" i="70"/>
  <c r="FL45" i="70" s="1"/>
  <c r="EY43" i="70"/>
  <c r="FK45" i="70" s="1"/>
  <c r="EX43" i="70"/>
  <c r="FJ45" i="70" s="1"/>
  <c r="EW43" i="70"/>
  <c r="EU43" i="70"/>
  <c r="ET43" i="70"/>
  <c r="ES43" i="70"/>
  <c r="FE45" i="70" s="1"/>
  <c r="ER43" i="70"/>
  <c r="EQ43" i="70"/>
  <c r="EP43" i="70"/>
  <c r="FB45" i="70" s="1"/>
  <c r="EO43" i="70"/>
  <c r="EN43" i="70"/>
  <c r="EM43" i="70"/>
  <c r="EY45" i="70" s="1"/>
  <c r="EL43" i="70"/>
  <c r="EK43" i="70"/>
  <c r="EJ43" i="70"/>
  <c r="EI43" i="70"/>
  <c r="EH43" i="70"/>
  <c r="EG43" i="70"/>
  <c r="ES45" i="70" s="1"/>
  <c r="EF43" i="70"/>
  <c r="EE43" i="70"/>
  <c r="ED43" i="70"/>
  <c r="EC43" i="70"/>
  <c r="EB43" i="70"/>
  <c r="EN45" i="70" s="1"/>
  <c r="EA43" i="70"/>
  <c r="DZ43" i="70"/>
  <c r="DY43" i="70"/>
  <c r="DX43" i="70"/>
  <c r="DW43" i="70"/>
  <c r="DW45" i="70" s="1"/>
  <c r="DV43" i="70"/>
  <c r="DU43" i="70"/>
  <c r="DT43" i="70"/>
  <c r="DS43" i="70"/>
  <c r="DR43" i="70"/>
  <c r="DQ43" i="70"/>
  <c r="DQ45" i="70" s="1"/>
  <c r="DP43" i="70"/>
  <c r="DO43" i="70"/>
  <c r="DN43" i="70"/>
  <c r="DM43" i="70"/>
  <c r="DL43" i="70"/>
  <c r="DK43" i="70"/>
  <c r="DJ43" i="70"/>
  <c r="DJ45" i="70" s="1"/>
  <c r="DI43" i="70"/>
  <c r="DH43" i="70"/>
  <c r="DG43" i="70"/>
  <c r="DF43" i="70"/>
  <c r="DE43" i="70"/>
  <c r="DD43" i="70"/>
  <c r="DC43" i="70"/>
  <c r="DB43" i="70"/>
  <c r="DA43" i="70"/>
  <c r="DA45" i="70" s="1"/>
  <c r="CZ43" i="70"/>
  <c r="CY43" i="70"/>
  <c r="CX43" i="70"/>
  <c r="CW43" i="70"/>
  <c r="CV43" i="70"/>
  <c r="CU43" i="70"/>
  <c r="CT43" i="70"/>
  <c r="CS43" i="70"/>
  <c r="DE45" i="70" s="1"/>
  <c r="CR43" i="70"/>
  <c r="CQ43" i="70"/>
  <c r="CP43" i="70"/>
  <c r="CO43" i="70"/>
  <c r="CN43" i="70"/>
  <c r="CZ45" i="70" s="1"/>
  <c r="CM43" i="70"/>
  <c r="CL43" i="70"/>
  <c r="CL45" i="70" s="1"/>
  <c r="CK43" i="70"/>
  <c r="CJ43" i="70"/>
  <c r="CI43" i="70"/>
  <c r="CH43" i="70"/>
  <c r="CG43" i="70"/>
  <c r="CF43" i="70"/>
  <c r="CE43" i="70"/>
  <c r="CD43" i="70"/>
  <c r="CC43" i="70"/>
  <c r="CO45" i="70" s="1"/>
  <c r="CB43" i="70"/>
  <c r="CA43" i="70"/>
  <c r="CA45" i="70" s="1"/>
  <c r="BZ43" i="70"/>
  <c r="BY43" i="70"/>
  <c r="BX43" i="70"/>
  <c r="BW43" i="70"/>
  <c r="BV43" i="70"/>
  <c r="BU43" i="70"/>
  <c r="BT43" i="70"/>
  <c r="BS43" i="70"/>
  <c r="CE45" i="70" s="1"/>
  <c r="BR43" i="70"/>
  <c r="BQ43" i="70"/>
  <c r="BP43" i="70"/>
  <c r="BO43" i="70"/>
  <c r="BN43" i="70"/>
  <c r="BM43" i="70"/>
  <c r="BM45" i="70" s="1"/>
  <c r="BL43" i="70"/>
  <c r="BK43" i="70"/>
  <c r="BJ43" i="70"/>
  <c r="BI43" i="70"/>
  <c r="BH43" i="70"/>
  <c r="BG43" i="70"/>
  <c r="BF43" i="70"/>
  <c r="BR45" i="70" s="1"/>
  <c r="BE43" i="70"/>
  <c r="BE45" i="70" s="1"/>
  <c r="BD43" i="70"/>
  <c r="BC43" i="70"/>
  <c r="BB43" i="70"/>
  <c r="BA43" i="70"/>
  <c r="AZ43" i="70"/>
  <c r="AY43" i="70"/>
  <c r="AX43" i="70"/>
  <c r="AW43" i="70"/>
  <c r="AV43" i="70"/>
  <c r="AU43" i="70"/>
  <c r="AT43" i="70"/>
  <c r="AS43" i="70"/>
  <c r="AR43" i="70"/>
  <c r="AQ43" i="70"/>
  <c r="AP43" i="70"/>
  <c r="AO43" i="70"/>
  <c r="AN43" i="70"/>
  <c r="AM43" i="70"/>
  <c r="AY45" i="70" s="1"/>
  <c r="AL43" i="70"/>
  <c r="AK43" i="70"/>
  <c r="AJ43" i="70"/>
  <c r="AI43" i="70"/>
  <c r="AH43" i="70"/>
  <c r="AG43" i="70"/>
  <c r="AG45" i="70" s="1"/>
  <c r="AF43" i="70"/>
  <c r="AE43" i="70"/>
  <c r="AE45" i="70" s="1"/>
  <c r="AD43" i="70"/>
  <c r="AC43" i="70"/>
  <c r="AB43" i="70"/>
  <c r="AA43" i="70"/>
  <c r="Z43" i="70"/>
  <c r="Y43" i="70"/>
  <c r="AK45" i="70" s="1"/>
  <c r="X43" i="70"/>
  <c r="W43" i="70"/>
  <c r="V43" i="70"/>
  <c r="U43" i="70"/>
  <c r="T43" i="70"/>
  <c r="S43" i="70"/>
  <c r="R43" i="70"/>
  <c r="Q43" i="70"/>
  <c r="AC45" i="70" s="1"/>
  <c r="P43" i="70"/>
  <c r="O43" i="70"/>
  <c r="N43" i="70"/>
  <c r="M43" i="70"/>
  <c r="L43" i="70"/>
  <c r="K43" i="70"/>
  <c r="J43" i="70"/>
  <c r="I43" i="70"/>
  <c r="H43" i="70"/>
  <c r="G43" i="70"/>
  <c r="F43" i="70"/>
  <c r="E43" i="70"/>
  <c r="JI42" i="70"/>
  <c r="JG42" i="70"/>
  <c r="JF42" i="70"/>
  <c r="JE42" i="70"/>
  <c r="JD42" i="70"/>
  <c r="JC42" i="70"/>
  <c r="JB42" i="70"/>
  <c r="JI39" i="70"/>
  <c r="JG39" i="70"/>
  <c r="JF39" i="70"/>
  <c r="JF44" i="70" s="1"/>
  <c r="JE39" i="70"/>
  <c r="JE40" i="70" s="1"/>
  <c r="JC39" i="70"/>
  <c r="JC44" i="70" s="1"/>
  <c r="JB39" i="70"/>
  <c r="JB44" i="70" s="1"/>
  <c r="IF39" i="70"/>
  <c r="IE39" i="70"/>
  <c r="ID39" i="70"/>
  <c r="IC39" i="70"/>
  <c r="IB39" i="70"/>
  <c r="IA39" i="70"/>
  <c r="HZ39" i="70"/>
  <c r="HY39" i="70"/>
  <c r="HX39" i="70"/>
  <c r="HW39" i="70"/>
  <c r="HV39" i="70"/>
  <c r="HS39" i="70"/>
  <c r="EZ39" i="70"/>
  <c r="EY39" i="70"/>
  <c r="EY42" i="70" s="1"/>
  <c r="EX39" i="70"/>
  <c r="EX42" i="70" s="1"/>
  <c r="EW39" i="70"/>
  <c r="EU39" i="70"/>
  <c r="EU42" i="70" s="1"/>
  <c r="ES39" i="70"/>
  <c r="ES42" i="70" s="1"/>
  <c r="EO39" i="70"/>
  <c r="EN39" i="70"/>
  <c r="EN40" i="70" s="1"/>
  <c r="EM39" i="70"/>
  <c r="EM40" i="70" s="1"/>
  <c r="DP39" i="70"/>
  <c r="JL38" i="70"/>
  <c r="KE38" i="70" s="1"/>
  <c r="JK38" i="70"/>
  <c r="JJ38" i="70"/>
  <c r="JH38" i="70"/>
  <c r="IM38" i="70"/>
  <c r="IL38" i="70"/>
  <c r="IF38" i="70"/>
  <c r="IE38" i="70"/>
  <c r="ID38" i="70"/>
  <c r="IC38" i="70"/>
  <c r="IB38" i="70"/>
  <c r="IA38" i="70"/>
  <c r="HZ38" i="70"/>
  <c r="HY38" i="70"/>
  <c r="HX38" i="70"/>
  <c r="HW38" i="70"/>
  <c r="HV38" i="70"/>
  <c r="HS38" i="70"/>
  <c r="ER39" i="70"/>
  <c r="ER42" i="70" s="1"/>
  <c r="EQ38" i="70"/>
  <c r="EP38" i="70"/>
  <c r="EP39" i="70" s="1"/>
  <c r="EL38" i="70"/>
  <c r="EL39" i="70" s="1"/>
  <c r="EK38" i="70"/>
  <c r="EK39" i="70" s="1"/>
  <c r="EJ38" i="70"/>
  <c r="EJ39" i="70" s="1"/>
  <c r="EJ40" i="70" s="1"/>
  <c r="EI38" i="70"/>
  <c r="EH38" i="70"/>
  <c r="EH39" i="70" s="1"/>
  <c r="EH40" i="70" s="1"/>
  <c r="EG38" i="70"/>
  <c r="EG39" i="70" s="1"/>
  <c r="EG40" i="70" s="1"/>
  <c r="EF38" i="70"/>
  <c r="EF39" i="70" s="1"/>
  <c r="JM33" i="70"/>
  <c r="JL33" i="70"/>
  <c r="JK33" i="70"/>
  <c r="JJ33" i="70"/>
  <c r="IN33" i="70"/>
  <c r="IM33" i="70"/>
  <c r="IL33" i="70"/>
  <c r="IK33" i="70"/>
  <c r="IJ33" i="70"/>
  <c r="II33" i="70"/>
  <c r="IH33" i="70"/>
  <c r="IG33" i="70"/>
  <c r="IF33" i="70"/>
  <c r="IE33" i="70"/>
  <c r="ID33" i="70"/>
  <c r="IC33" i="70"/>
  <c r="IB33" i="70"/>
  <c r="IA33" i="70"/>
  <c r="HZ33" i="70"/>
  <c r="HY33" i="70"/>
  <c r="HX33" i="70"/>
  <c r="HW33" i="70"/>
  <c r="HV33" i="70"/>
  <c r="HS33" i="70"/>
  <c r="JM32" i="70"/>
  <c r="JL32" i="70"/>
  <c r="JK32" i="70"/>
  <c r="JJ32" i="70"/>
  <c r="IN32" i="70"/>
  <c r="IM32" i="70"/>
  <c r="IL32" i="70"/>
  <c r="IK32" i="70"/>
  <c r="IJ32" i="70"/>
  <c r="II32" i="70"/>
  <c r="IH32" i="70"/>
  <c r="IG32" i="70"/>
  <c r="IF32" i="70"/>
  <c r="IE32" i="70"/>
  <c r="ID32" i="70"/>
  <c r="IC32" i="70"/>
  <c r="IB32" i="70"/>
  <c r="IA32" i="70"/>
  <c r="HZ32" i="70"/>
  <c r="HY32" i="70"/>
  <c r="HX32" i="70"/>
  <c r="HW32" i="70"/>
  <c r="HV32" i="70"/>
  <c r="HS32" i="70"/>
  <c r="JM31" i="70"/>
  <c r="JL31" i="70"/>
  <c r="JK31" i="70"/>
  <c r="JJ31" i="70"/>
  <c r="IN31" i="70"/>
  <c r="IM31" i="70"/>
  <c r="IL31" i="70"/>
  <c r="IK31" i="70"/>
  <c r="IJ31" i="70"/>
  <c r="II31" i="70"/>
  <c r="IH31" i="70"/>
  <c r="IG31" i="70"/>
  <c r="IF31" i="70"/>
  <c r="IE31" i="70"/>
  <c r="ID31" i="70"/>
  <c r="IC31" i="70"/>
  <c r="IB31" i="70"/>
  <c r="IA31" i="70"/>
  <c r="HZ31" i="70"/>
  <c r="HY31" i="70"/>
  <c r="HX31" i="70"/>
  <c r="HW31" i="70"/>
  <c r="HV31" i="70"/>
  <c r="HS31" i="70"/>
  <c r="JM27" i="70"/>
  <c r="JL27" i="70"/>
  <c r="JK27" i="70"/>
  <c r="JJ27" i="70"/>
  <c r="IN27" i="70"/>
  <c r="IM27" i="70"/>
  <c r="IL27" i="70"/>
  <c r="IK27" i="70"/>
  <c r="IJ27" i="70"/>
  <c r="II27" i="70"/>
  <c r="IH27" i="70"/>
  <c r="IG27" i="70"/>
  <c r="IF27" i="70"/>
  <c r="IE27" i="70"/>
  <c r="ID27" i="70"/>
  <c r="IC27" i="70"/>
  <c r="IB27" i="70"/>
  <c r="IA27" i="70"/>
  <c r="HZ27" i="70"/>
  <c r="HY27" i="70"/>
  <c r="HX27" i="70"/>
  <c r="HW27" i="70"/>
  <c r="HV27" i="70"/>
  <c r="HS27" i="70"/>
  <c r="JM30" i="70"/>
  <c r="KH30" i="70" s="1"/>
  <c r="JL30" i="70"/>
  <c r="JK30" i="70"/>
  <c r="JJ30" i="70"/>
  <c r="IN30" i="70"/>
  <c r="IM30" i="70"/>
  <c r="IL30" i="70"/>
  <c r="IK30" i="70"/>
  <c r="IJ30" i="70"/>
  <c r="II30" i="70"/>
  <c r="IH30" i="70"/>
  <c r="IG30" i="70"/>
  <c r="IF30" i="70"/>
  <c r="IE30" i="70"/>
  <c r="ID30" i="70"/>
  <c r="IC30" i="70"/>
  <c r="IB30" i="70"/>
  <c r="IA30" i="70"/>
  <c r="HZ30" i="70"/>
  <c r="HY30" i="70"/>
  <c r="HX30" i="70"/>
  <c r="HW30" i="70"/>
  <c r="HV30" i="70"/>
  <c r="HS30" i="70"/>
  <c r="JM37" i="70"/>
  <c r="JL37" i="70"/>
  <c r="JK37" i="70"/>
  <c r="JJ37" i="70"/>
  <c r="IN37" i="70"/>
  <c r="IM37" i="70"/>
  <c r="IL37" i="70"/>
  <c r="IK37" i="70"/>
  <c r="IJ37" i="70"/>
  <c r="II37" i="70"/>
  <c r="IH37" i="70"/>
  <c r="IG37" i="70"/>
  <c r="IF37" i="70"/>
  <c r="IE37" i="70"/>
  <c r="ID37" i="70"/>
  <c r="IC37" i="70"/>
  <c r="IB37" i="70"/>
  <c r="IA37" i="70"/>
  <c r="HZ37" i="70"/>
  <c r="HY37" i="70"/>
  <c r="HX37" i="70"/>
  <c r="HW37" i="70"/>
  <c r="HV37" i="70"/>
  <c r="HS37" i="70"/>
  <c r="JM28" i="70"/>
  <c r="KH28" i="70" s="1"/>
  <c r="JL28" i="70"/>
  <c r="JK28" i="70"/>
  <c r="JJ28" i="70"/>
  <c r="IN28" i="70"/>
  <c r="IM28" i="70"/>
  <c r="IL28" i="70"/>
  <c r="IK28" i="70"/>
  <c r="IJ28" i="70"/>
  <c r="II28" i="70"/>
  <c r="IH28" i="70"/>
  <c r="IG28" i="70"/>
  <c r="IF28" i="70"/>
  <c r="IE28" i="70"/>
  <c r="ID28" i="70"/>
  <c r="IC28" i="70"/>
  <c r="IB28" i="70"/>
  <c r="IA28" i="70"/>
  <c r="HZ28" i="70"/>
  <c r="HY28" i="70"/>
  <c r="HX28" i="70"/>
  <c r="HW28" i="70"/>
  <c r="HV28" i="70"/>
  <c r="HS28" i="70"/>
  <c r="JM24" i="70"/>
  <c r="JL24" i="70"/>
  <c r="JK24" i="70"/>
  <c r="JJ24" i="70"/>
  <c r="IN24" i="70"/>
  <c r="IM24" i="70"/>
  <c r="IL24" i="70"/>
  <c r="IK24" i="70"/>
  <c r="IJ24" i="70"/>
  <c r="II24" i="70"/>
  <c r="IH24" i="70"/>
  <c r="IG24" i="70"/>
  <c r="IF24" i="70"/>
  <c r="IE24" i="70"/>
  <c r="ID24" i="70"/>
  <c r="IC24" i="70"/>
  <c r="IB24" i="70"/>
  <c r="IA24" i="70"/>
  <c r="HZ24" i="70"/>
  <c r="HY24" i="70"/>
  <c r="HX24" i="70"/>
  <c r="HW24" i="70"/>
  <c r="HV24" i="70"/>
  <c r="HS24" i="70"/>
  <c r="JM35" i="70"/>
  <c r="KH35" i="70" s="1"/>
  <c r="JL35" i="70"/>
  <c r="JK35" i="70"/>
  <c r="JJ35" i="70"/>
  <c r="IN35" i="70"/>
  <c r="IM35" i="70"/>
  <c r="IL35" i="70"/>
  <c r="IK35" i="70"/>
  <c r="IJ35" i="70"/>
  <c r="II35" i="70"/>
  <c r="IH35" i="70"/>
  <c r="IG35" i="70"/>
  <c r="IF35" i="70"/>
  <c r="IE35" i="70"/>
  <c r="ID35" i="70"/>
  <c r="IC35" i="70"/>
  <c r="IB35" i="70"/>
  <c r="IA35" i="70"/>
  <c r="HZ35" i="70"/>
  <c r="HY35" i="70"/>
  <c r="HX35" i="70"/>
  <c r="HW35" i="70"/>
  <c r="HV35" i="70"/>
  <c r="HS35" i="70"/>
  <c r="JM26" i="70"/>
  <c r="JL26" i="70"/>
  <c r="JK26" i="70"/>
  <c r="JJ26" i="70"/>
  <c r="IN26" i="70"/>
  <c r="IM26" i="70"/>
  <c r="IL26" i="70"/>
  <c r="IK26" i="70"/>
  <c r="IJ26" i="70"/>
  <c r="II26" i="70"/>
  <c r="IH26" i="70"/>
  <c r="IG26" i="70"/>
  <c r="IF26" i="70"/>
  <c r="IE26" i="70"/>
  <c r="ID26" i="70"/>
  <c r="IC26" i="70"/>
  <c r="IB26" i="70"/>
  <c r="IA26" i="70"/>
  <c r="HZ26" i="70"/>
  <c r="HY26" i="70"/>
  <c r="HX26" i="70"/>
  <c r="HW26" i="70"/>
  <c r="HV26" i="70"/>
  <c r="HS26" i="70"/>
  <c r="JM29" i="70"/>
  <c r="JL29" i="70"/>
  <c r="JK29" i="70"/>
  <c r="JJ29" i="70"/>
  <c r="IN29" i="70"/>
  <c r="IM29" i="70"/>
  <c r="IL29" i="70"/>
  <c r="IK29" i="70"/>
  <c r="IJ29" i="70"/>
  <c r="II29" i="70"/>
  <c r="IH29" i="70"/>
  <c r="IG29" i="70"/>
  <c r="IF29" i="70"/>
  <c r="IE29" i="70"/>
  <c r="ID29" i="70"/>
  <c r="IC29" i="70"/>
  <c r="IB29" i="70"/>
  <c r="IA29" i="70"/>
  <c r="HZ29" i="70"/>
  <c r="HY29" i="70"/>
  <c r="HX29" i="70"/>
  <c r="HW29" i="70"/>
  <c r="HV29" i="70"/>
  <c r="HS29" i="70"/>
  <c r="JM36" i="70"/>
  <c r="KH36" i="70" s="1"/>
  <c r="JL36" i="70"/>
  <c r="JK36" i="70"/>
  <c r="JJ36" i="70"/>
  <c r="IN36" i="70"/>
  <c r="IM36" i="70"/>
  <c r="IL36" i="70"/>
  <c r="IK36" i="70"/>
  <c r="IJ36" i="70"/>
  <c r="II36" i="70"/>
  <c r="IH36" i="70"/>
  <c r="IG36" i="70"/>
  <c r="IF36" i="70"/>
  <c r="IE36" i="70"/>
  <c r="ID36" i="70"/>
  <c r="IC36" i="70"/>
  <c r="IB36" i="70"/>
  <c r="IA36" i="70"/>
  <c r="HZ36" i="70"/>
  <c r="HY36" i="70"/>
  <c r="HX36" i="70"/>
  <c r="HW36" i="70"/>
  <c r="HV36" i="70"/>
  <c r="HS36" i="70"/>
  <c r="JM23" i="70"/>
  <c r="KH23" i="70" s="1"/>
  <c r="JL23" i="70"/>
  <c r="JK23" i="70"/>
  <c r="JJ23" i="70"/>
  <c r="IN23" i="70"/>
  <c r="IM23" i="70"/>
  <c r="IL23" i="70"/>
  <c r="IK23" i="70"/>
  <c r="IJ23" i="70"/>
  <c r="II23" i="70"/>
  <c r="IH23" i="70"/>
  <c r="IG23" i="70"/>
  <c r="IF23" i="70"/>
  <c r="IE23" i="70"/>
  <c r="ID23" i="70"/>
  <c r="IC23" i="70"/>
  <c r="IB23" i="70"/>
  <c r="IA23" i="70"/>
  <c r="HZ23" i="70"/>
  <c r="HY23" i="70"/>
  <c r="HX23" i="70"/>
  <c r="HW23" i="70"/>
  <c r="HV23" i="70"/>
  <c r="HS23" i="70"/>
  <c r="JM17" i="70"/>
  <c r="KH17" i="70" s="1"/>
  <c r="JL17" i="70"/>
  <c r="JK17" i="70"/>
  <c r="JJ17" i="70"/>
  <c r="IN17" i="70"/>
  <c r="IM17" i="70"/>
  <c r="IL17" i="70"/>
  <c r="IK17" i="70"/>
  <c r="IJ17" i="70"/>
  <c r="II17" i="70"/>
  <c r="IH17" i="70"/>
  <c r="IG17" i="70"/>
  <c r="IF17" i="70"/>
  <c r="IE17" i="70"/>
  <c r="ID17" i="70"/>
  <c r="IC17" i="70"/>
  <c r="IB17" i="70"/>
  <c r="IA17" i="70"/>
  <c r="HZ17" i="70"/>
  <c r="HY17" i="70"/>
  <c r="HX17" i="70"/>
  <c r="HW17" i="70"/>
  <c r="HV17" i="70"/>
  <c r="HS17" i="70"/>
  <c r="JM15" i="70"/>
  <c r="KH15" i="70" s="1"/>
  <c r="JL15" i="70"/>
  <c r="JK15" i="70"/>
  <c r="JJ15" i="70"/>
  <c r="IN15" i="70"/>
  <c r="IM15" i="70"/>
  <c r="IL15" i="70"/>
  <c r="IK15" i="70"/>
  <c r="IJ15" i="70"/>
  <c r="II15" i="70"/>
  <c r="IH15" i="70"/>
  <c r="IG15" i="70"/>
  <c r="IF15" i="70"/>
  <c r="IE15" i="70"/>
  <c r="ID15" i="70"/>
  <c r="IC15" i="70"/>
  <c r="IB15" i="70"/>
  <c r="IA15" i="70"/>
  <c r="HZ15" i="70"/>
  <c r="HY15" i="70"/>
  <c r="HX15" i="70"/>
  <c r="HW15" i="70"/>
  <c r="HV15" i="70"/>
  <c r="HS15" i="70"/>
  <c r="JJ21" i="70"/>
  <c r="IN21" i="70"/>
  <c r="IM21" i="70"/>
  <c r="IL21" i="70"/>
  <c r="IK21" i="70"/>
  <c r="IJ21" i="70"/>
  <c r="II21" i="70"/>
  <c r="IH21" i="70"/>
  <c r="IG21" i="70"/>
  <c r="IF21" i="70"/>
  <c r="IE21" i="70"/>
  <c r="ID21" i="70"/>
  <c r="IC21" i="70"/>
  <c r="IB21" i="70"/>
  <c r="IA21" i="70"/>
  <c r="HZ21" i="70"/>
  <c r="HY21" i="70"/>
  <c r="HX21" i="70"/>
  <c r="HW21" i="70"/>
  <c r="HV21" i="70"/>
  <c r="HS21" i="70"/>
  <c r="JJ18" i="70"/>
  <c r="IN18" i="70"/>
  <c r="IM18" i="70"/>
  <c r="IL18" i="70"/>
  <c r="IK18" i="70"/>
  <c r="IJ18" i="70"/>
  <c r="II18" i="70"/>
  <c r="IH18" i="70"/>
  <c r="IG18" i="70"/>
  <c r="IF18" i="70"/>
  <c r="IE18" i="70"/>
  <c r="ID18" i="70"/>
  <c r="IC18" i="70"/>
  <c r="IB18" i="70"/>
  <c r="IA18" i="70"/>
  <c r="HZ18" i="70"/>
  <c r="HY18" i="70"/>
  <c r="HX18" i="70"/>
  <c r="HW18" i="70"/>
  <c r="HV18" i="70"/>
  <c r="HS18" i="70"/>
  <c r="KH22" i="70"/>
  <c r="JJ22" i="70"/>
  <c r="IN22" i="70"/>
  <c r="IM22" i="70"/>
  <c r="IL22" i="70"/>
  <c r="IK22" i="70"/>
  <c r="IJ22" i="70"/>
  <c r="II22" i="70"/>
  <c r="IH22" i="70"/>
  <c r="IG22" i="70"/>
  <c r="IF22" i="70"/>
  <c r="IE22" i="70"/>
  <c r="ID22" i="70"/>
  <c r="IC22" i="70"/>
  <c r="IB22" i="70"/>
  <c r="IA22" i="70"/>
  <c r="HZ22" i="70"/>
  <c r="HY22" i="70"/>
  <c r="HX22" i="70"/>
  <c r="HW22" i="70"/>
  <c r="HV22" i="70"/>
  <c r="HS22" i="70"/>
  <c r="JJ16" i="70"/>
  <c r="IN16" i="70"/>
  <c r="IM16" i="70"/>
  <c r="IL16" i="70"/>
  <c r="IK16" i="70"/>
  <c r="IJ16" i="70"/>
  <c r="II16" i="70"/>
  <c r="IH16" i="70"/>
  <c r="IG16" i="70"/>
  <c r="IF16" i="70"/>
  <c r="IE16" i="70"/>
  <c r="ID16" i="70"/>
  <c r="IC16" i="70"/>
  <c r="IB16" i="70"/>
  <c r="IA16" i="70"/>
  <c r="HZ16" i="70"/>
  <c r="HY16" i="70"/>
  <c r="HX16" i="70"/>
  <c r="HW16" i="70"/>
  <c r="HV16" i="70"/>
  <c r="HS16" i="70"/>
  <c r="JJ13" i="70"/>
  <c r="IN13" i="70"/>
  <c r="IM13" i="70"/>
  <c r="IL13" i="70"/>
  <c r="IK13" i="70"/>
  <c r="IJ13" i="70"/>
  <c r="II13" i="70"/>
  <c r="IH13" i="70"/>
  <c r="IG13" i="70"/>
  <c r="IF13" i="70"/>
  <c r="IE13" i="70"/>
  <c r="ID13" i="70"/>
  <c r="IC13" i="70"/>
  <c r="IB13" i="70"/>
  <c r="IA13" i="70"/>
  <c r="HZ13" i="70"/>
  <c r="HY13" i="70"/>
  <c r="HX13" i="70"/>
  <c r="HW13" i="70"/>
  <c r="HV13" i="70"/>
  <c r="HS13" i="70"/>
  <c r="JJ12" i="70"/>
  <c r="IN12" i="70"/>
  <c r="IM12" i="70"/>
  <c r="IL12" i="70"/>
  <c r="IK12" i="70"/>
  <c r="IJ12" i="70"/>
  <c r="II12" i="70"/>
  <c r="IH12" i="70"/>
  <c r="IG12" i="70"/>
  <c r="IF12" i="70"/>
  <c r="IE12" i="70"/>
  <c r="ID12" i="70"/>
  <c r="IC12" i="70"/>
  <c r="IB12" i="70"/>
  <c r="IA12" i="70"/>
  <c r="HZ12" i="70"/>
  <c r="HY12" i="70"/>
  <c r="HX12" i="70"/>
  <c r="HW12" i="70"/>
  <c r="HV12" i="70"/>
  <c r="HS12" i="70"/>
  <c r="JM20" i="70"/>
  <c r="JL20" i="70"/>
  <c r="JK20" i="70"/>
  <c r="JJ20" i="70"/>
  <c r="IN20" i="70"/>
  <c r="IM20" i="70"/>
  <c r="IL20" i="70"/>
  <c r="IK20" i="70"/>
  <c r="IJ20" i="70"/>
  <c r="II20" i="70"/>
  <c r="IH20" i="70"/>
  <c r="IG20" i="70"/>
  <c r="IF20" i="70"/>
  <c r="IE20" i="70"/>
  <c r="ID20" i="70"/>
  <c r="IC20" i="70"/>
  <c r="IB20" i="70"/>
  <c r="IA20" i="70"/>
  <c r="HZ20" i="70"/>
  <c r="HY20" i="70"/>
  <c r="HX20" i="70"/>
  <c r="HW20" i="70"/>
  <c r="HV20" i="70"/>
  <c r="HS20" i="70"/>
  <c r="KH25" i="70"/>
  <c r="JJ25" i="70"/>
  <c r="IN25" i="70"/>
  <c r="IM25" i="70"/>
  <c r="IL25" i="70"/>
  <c r="IK25" i="70"/>
  <c r="IJ25" i="70"/>
  <c r="II25" i="70"/>
  <c r="IH25" i="70"/>
  <c r="IG25" i="70"/>
  <c r="IF25" i="70"/>
  <c r="IE25" i="70"/>
  <c r="ID25" i="70"/>
  <c r="IC25" i="70"/>
  <c r="IB25" i="70"/>
  <c r="IA25" i="70"/>
  <c r="HZ25" i="70"/>
  <c r="HY25" i="70"/>
  <c r="HX25" i="70"/>
  <c r="HW25" i="70"/>
  <c r="HV25" i="70"/>
  <c r="HS25" i="70"/>
  <c r="JJ11" i="70"/>
  <c r="IN11" i="70"/>
  <c r="IM11" i="70"/>
  <c r="IL11" i="70"/>
  <c r="IK11" i="70"/>
  <c r="IJ11" i="70"/>
  <c r="II11" i="70"/>
  <c r="IH11" i="70"/>
  <c r="IG11" i="70"/>
  <c r="IF11" i="70"/>
  <c r="IE11" i="70"/>
  <c r="ID11" i="70"/>
  <c r="IC11" i="70"/>
  <c r="IB11" i="70"/>
  <c r="IA11" i="70"/>
  <c r="HZ11" i="70"/>
  <c r="HY11" i="70"/>
  <c r="HX11" i="70"/>
  <c r="HW11" i="70"/>
  <c r="HV11" i="70"/>
  <c r="HS11" i="70"/>
  <c r="KH19" i="70"/>
  <c r="JJ19" i="70"/>
  <c r="IN19" i="70"/>
  <c r="IM19" i="70"/>
  <c r="IL19" i="70"/>
  <c r="IK19" i="70"/>
  <c r="IJ19" i="70"/>
  <c r="II19" i="70"/>
  <c r="IH19" i="70"/>
  <c r="IG19" i="70"/>
  <c r="IF19" i="70"/>
  <c r="IE19" i="70"/>
  <c r="ID19" i="70"/>
  <c r="IC19" i="70"/>
  <c r="IB19" i="70"/>
  <c r="IA19" i="70"/>
  <c r="HZ19" i="70"/>
  <c r="HY19" i="70"/>
  <c r="HX19" i="70"/>
  <c r="HW19" i="70"/>
  <c r="HV19" i="70"/>
  <c r="HS19" i="70"/>
  <c r="JJ14" i="70"/>
  <c r="IN14" i="70"/>
  <c r="IM14" i="70"/>
  <c r="IL14" i="70"/>
  <c r="IK14" i="70"/>
  <c r="IJ14" i="70"/>
  <c r="II14" i="70"/>
  <c r="IH14" i="70"/>
  <c r="IG14" i="70"/>
  <c r="IF14" i="70"/>
  <c r="IE14" i="70"/>
  <c r="ID14" i="70"/>
  <c r="IC14" i="70"/>
  <c r="IB14" i="70"/>
  <c r="IA14" i="70"/>
  <c r="HZ14" i="70"/>
  <c r="HY14" i="70"/>
  <c r="HX14" i="70"/>
  <c r="HW14" i="70"/>
  <c r="HV14" i="70"/>
  <c r="HS14" i="70"/>
  <c r="JJ10" i="70"/>
  <c r="IN10" i="70"/>
  <c r="IM10" i="70"/>
  <c r="IL10" i="70"/>
  <c r="IK10" i="70"/>
  <c r="IJ10" i="70"/>
  <c r="II10" i="70"/>
  <c r="IH10" i="70"/>
  <c r="IG10" i="70"/>
  <c r="IF10" i="70"/>
  <c r="IE10" i="70"/>
  <c r="ID10" i="70"/>
  <c r="IC10" i="70"/>
  <c r="IB10" i="70"/>
  <c r="IA10" i="70"/>
  <c r="HZ10" i="70"/>
  <c r="HY10" i="70"/>
  <c r="HX10" i="70"/>
  <c r="HW10" i="70"/>
  <c r="HV10" i="70"/>
  <c r="HS10" i="70"/>
  <c r="JJ8" i="70"/>
  <c r="IN8" i="70"/>
  <c r="IM8" i="70"/>
  <c r="IL8" i="70"/>
  <c r="IK8" i="70"/>
  <c r="IJ8" i="70"/>
  <c r="II8" i="70"/>
  <c r="IH8" i="70"/>
  <c r="IG8" i="70"/>
  <c r="IF8" i="70"/>
  <c r="IE8" i="70"/>
  <c r="ID8" i="70"/>
  <c r="IC8" i="70"/>
  <c r="IB8" i="70"/>
  <c r="IA8" i="70"/>
  <c r="HZ8" i="70"/>
  <c r="HY8" i="70"/>
  <c r="HX8" i="70"/>
  <c r="HW8" i="70"/>
  <c r="HV8" i="70"/>
  <c r="HS8" i="70"/>
  <c r="JJ9" i="70"/>
  <c r="IN9" i="70"/>
  <c r="IM9" i="70"/>
  <c r="IL9" i="70"/>
  <c r="IK9" i="70"/>
  <c r="IJ9" i="70"/>
  <c r="II9" i="70"/>
  <c r="IH9" i="70"/>
  <c r="IG9" i="70"/>
  <c r="IF9" i="70"/>
  <c r="IE9" i="70"/>
  <c r="ID9" i="70"/>
  <c r="IC9" i="70"/>
  <c r="IB9" i="70"/>
  <c r="IA9" i="70"/>
  <c r="HZ9" i="70"/>
  <c r="HY9" i="70"/>
  <c r="HX9" i="70"/>
  <c r="HW9" i="70"/>
  <c r="HV9" i="70"/>
  <c r="HS9" i="70"/>
  <c r="JJ7" i="70"/>
  <c r="IN7" i="70"/>
  <c r="IM7" i="70"/>
  <c r="IK7" i="70"/>
  <c r="IJ7" i="70"/>
  <c r="II7" i="70"/>
  <c r="IH7" i="70"/>
  <c r="IG7" i="70"/>
  <c r="IF7" i="70"/>
  <c r="IE7" i="70"/>
  <c r="ID7" i="70"/>
  <c r="IC7" i="70"/>
  <c r="IB7" i="70"/>
  <c r="IA7" i="70"/>
  <c r="HZ7" i="70"/>
  <c r="HY7" i="70"/>
  <c r="HX7" i="70"/>
  <c r="HW7" i="70"/>
  <c r="HV7" i="70"/>
  <c r="HS7" i="70"/>
  <c r="JM6" i="70"/>
  <c r="JL6" i="70"/>
  <c r="JK6" i="70"/>
  <c r="JJ6" i="70"/>
  <c r="IN6" i="70"/>
  <c r="IM6" i="70"/>
  <c r="IK6" i="70"/>
  <c r="IJ6" i="70"/>
  <c r="II6" i="70"/>
  <c r="IH6" i="70"/>
  <c r="IG6" i="70"/>
  <c r="IF6" i="70"/>
  <c r="IE6" i="70"/>
  <c r="ID6" i="70"/>
  <c r="IC6" i="70"/>
  <c r="IB6" i="70"/>
  <c r="IA6" i="70"/>
  <c r="HZ6" i="70"/>
  <c r="HY6" i="70"/>
  <c r="HX6" i="70"/>
  <c r="HW6" i="70"/>
  <c r="HV6" i="70"/>
  <c r="HS6" i="70"/>
  <c r="DF4" i="70"/>
  <c r="I45" i="21"/>
  <c r="G45" i="21"/>
  <c r="F45" i="21"/>
  <c r="I43" i="21"/>
  <c r="G43" i="21"/>
  <c r="F43" i="21"/>
  <c r="E43" i="21"/>
  <c r="D43" i="21"/>
  <c r="C43" i="21"/>
  <c r="I41" i="21"/>
  <c r="G41" i="21"/>
  <c r="F41" i="21"/>
  <c r="E41" i="21"/>
  <c r="D41" i="21"/>
  <c r="C41" i="21"/>
  <c r="AF33" i="21"/>
  <c r="AG33" i="21" s="1"/>
  <c r="I21" i="21"/>
  <c r="A21" i="21"/>
  <c r="A28" i="21" s="1"/>
  <c r="G20" i="21"/>
  <c r="F20" i="21"/>
  <c r="E20" i="21"/>
  <c r="D20" i="21"/>
  <c r="C20" i="21"/>
  <c r="A20" i="21"/>
  <c r="J21" i="21"/>
  <c r="I28" i="21"/>
  <c r="H21" i="21"/>
  <c r="D21" i="21"/>
  <c r="V16" i="21"/>
  <c r="L13" i="21"/>
  <c r="L12" i="21"/>
  <c r="M28" i="21" s="1"/>
  <c r="W7" i="21"/>
  <c r="X7" i="21" s="1"/>
  <c r="W6" i="21"/>
  <c r="X6" i="21" s="1"/>
  <c r="AA6" i="21"/>
  <c r="AB6" i="21" s="1"/>
  <c r="W5" i="21"/>
  <c r="X5" i="21" s="1"/>
  <c r="W4" i="21"/>
  <c r="X4" i="21" s="1"/>
  <c r="AA4" i="21"/>
  <c r="AB4" i="21" s="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c r="E15" i="75"/>
  <c r="B15" i="75"/>
  <c r="L13" i="75"/>
  <c r="K13" i="75"/>
  <c r="J13" i="75"/>
  <c r="E13" i="75"/>
  <c r="L12" i="75"/>
  <c r="K12" i="75"/>
  <c r="J12" i="75"/>
  <c r="E12" i="75"/>
  <c r="C12" i="75"/>
  <c r="B12" i="75"/>
  <c r="L11" i="75"/>
  <c r="K11" i="75"/>
  <c r="J11" i="75"/>
  <c r="E11" i="75"/>
  <c r="C11" i="75"/>
  <c r="J10" i="75"/>
  <c r="B10" i="75"/>
  <c r="H111" i="28"/>
  <c r="I114" i="28" s="1"/>
  <c r="G111" i="28"/>
  <c r="F111" i="28"/>
  <c r="E111" i="28"/>
  <c r="D111" i="28"/>
  <c r="C111" i="28"/>
  <c r="H110" i="28"/>
  <c r="G110" i="28"/>
  <c r="F110" i="28"/>
  <c r="E110" i="28"/>
  <c r="D110" i="28"/>
  <c r="C110" i="28"/>
  <c r="H109" i="28"/>
  <c r="G109" i="28"/>
  <c r="G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G85" i="28"/>
  <c r="F85" i="28"/>
  <c r="E85" i="28"/>
  <c r="D85" i="28"/>
  <c r="C85" i="28"/>
  <c r="I84" i="28"/>
  <c r="H84" i="28"/>
  <c r="G84" i="28"/>
  <c r="F84" i="28"/>
  <c r="E84" i="28"/>
  <c r="D84" i="28"/>
  <c r="C84" i="28"/>
  <c r="I83" i="28"/>
  <c r="G83" i="28"/>
  <c r="F83" i="28"/>
  <c r="E83" i="28"/>
  <c r="D83" i="28"/>
  <c r="C83" i="28"/>
  <c r="C79" i="28"/>
  <c r="C77" i="28"/>
  <c r="C75"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A120" i="28" s="1"/>
  <c r="A121" i="28" s="1"/>
  <c r="A125" i="28" s="1"/>
  <c r="A126" i="28" s="1"/>
  <c r="A127" i="28" s="1"/>
  <c r="A128" i="28" s="1"/>
  <c r="A130" i="28" s="1"/>
  <c r="A134" i="28" s="1"/>
  <c r="A135" i="28" s="1"/>
  <c r="A136" i="28" s="1"/>
  <c r="A137" i="28" s="1"/>
  <c r="A138" i="28" s="1"/>
  <c r="D56" i="28"/>
  <c r="H49" i="28"/>
  <c r="G49" i="28"/>
  <c r="F49" i="28"/>
  <c r="E49" i="28"/>
  <c r="D49" i="28"/>
  <c r="H38" i="28"/>
  <c r="I7" i="28"/>
  <c r="B23" i="75"/>
  <c r="AP7" i="21"/>
  <c r="AP8" i="21"/>
  <c r="AP13" i="21"/>
  <c r="T43" i="21"/>
  <c r="W11" i="21"/>
  <c r="X11" i="21" s="1"/>
  <c r="H105" i="28"/>
  <c r="E101" i="28"/>
  <c r="F253" i="59"/>
  <c r="N253" i="59"/>
  <c r="W8" i="21"/>
  <c r="X8" i="21" s="1"/>
  <c r="E21" i="21"/>
  <c r="K21" i="21"/>
  <c r="W9" i="21"/>
  <c r="X9" i="21" s="1"/>
  <c r="J28" i="21"/>
  <c r="W10" i="21"/>
  <c r="X10" i="21" s="1"/>
  <c r="W12" i="21"/>
  <c r="X12" i="21" s="1"/>
  <c r="K28" i="21"/>
  <c r="M41" i="21"/>
  <c r="JH42" i="70"/>
  <c r="JH39" i="70"/>
  <c r="JH44" i="70" s="1"/>
  <c r="R43" i="21"/>
  <c r="P22" i="71"/>
  <c r="H22" i="71"/>
  <c r="O22" i="71"/>
  <c r="G22" i="71"/>
  <c r="S18" i="71"/>
  <c r="T37" i="71"/>
  <c r="M22" i="71"/>
  <c r="E22" i="71"/>
  <c r="L22" i="71"/>
  <c r="D22" i="71"/>
  <c r="J22" i="71"/>
  <c r="Q22" i="71"/>
  <c r="I22" i="71"/>
  <c r="F22" i="71"/>
  <c r="N22" i="71"/>
  <c r="K22" i="71"/>
  <c r="X35" i="62"/>
  <c r="X39" i="62"/>
  <c r="X42" i="62" s="1"/>
  <c r="AF35" i="62"/>
  <c r="AF39" i="62"/>
  <c r="AF33" i="62" s="1"/>
  <c r="AF27" i="62" s="1"/>
  <c r="AC42" i="62"/>
  <c r="AD35" i="62"/>
  <c r="AD39" i="62"/>
  <c r="AD40" i="62" s="1"/>
  <c r="M97" i="59"/>
  <c r="AE39" i="62"/>
  <c r="AE33" i="62" s="1"/>
  <c r="AE27" i="62" s="1"/>
  <c r="S27" i="71"/>
  <c r="U27" i="71"/>
  <c r="R51" i="71"/>
  <c r="S51" i="71"/>
  <c r="R50" i="71"/>
  <c r="S50" i="71"/>
  <c r="S31" i="71"/>
  <c r="U31" i="71"/>
  <c r="S34" i="71"/>
  <c r="U34" i="71"/>
  <c r="S28" i="71"/>
  <c r="U28" i="71"/>
  <c r="AB14" i="77"/>
  <c r="AB30" i="77"/>
  <c r="AB32" i="77"/>
  <c r="AB39" i="77"/>
  <c r="AB41" i="77"/>
  <c r="AB43" i="77"/>
  <c r="AB49" i="77"/>
  <c r="AB53" i="77"/>
  <c r="N33" i="64"/>
  <c r="N35" i="64"/>
  <c r="L10" i="22"/>
  <c r="U12" i="77"/>
  <c r="AB28" i="77"/>
  <c r="AB56" i="77"/>
  <c r="L3" i="11"/>
  <c r="L8" i="11"/>
  <c r="L8" i="13"/>
  <c r="AB16" i="77"/>
  <c r="AB18" i="77"/>
  <c r="AB20" i="77"/>
  <c r="AB22" i="77"/>
  <c r="AB24" i="77"/>
  <c r="AB26" i="77"/>
  <c r="AB31" i="77"/>
  <c r="AB33" i="77"/>
  <c r="AB35" i="77"/>
  <c r="AB38" i="77"/>
  <c r="AB40" i="77"/>
  <c r="AB54" i="77"/>
  <c r="N32" i="64"/>
  <c r="L3" i="10"/>
  <c r="L4" i="11"/>
  <c r="L9" i="13"/>
  <c r="L7" i="22"/>
  <c r="L11" i="22"/>
  <c r="AB42" i="77"/>
  <c r="AB44" i="77"/>
  <c r="AB46" i="77"/>
  <c r="AB48" i="77"/>
  <c r="AB50" i="77"/>
  <c r="AB52" i="77"/>
  <c r="L5" i="11"/>
  <c r="L3" i="16"/>
  <c r="AB8" i="77"/>
  <c r="AB10" i="77"/>
  <c r="AB11" i="77"/>
  <c r="AB29" i="77"/>
  <c r="L6" i="11"/>
  <c r="L4" i="16"/>
  <c r="AB12" i="77"/>
  <c r="AB27" i="77"/>
  <c r="HV40" i="70"/>
  <c r="HS40" i="70"/>
  <c r="HY40" i="70"/>
  <c r="U39" i="71"/>
  <c r="T39" i="71"/>
  <c r="AB13" i="77"/>
  <c r="AB21" i="77"/>
  <c r="AB34" i="77"/>
  <c r="O18" i="12"/>
  <c r="P18" i="12"/>
  <c r="J21" i="59"/>
  <c r="AB23" i="77"/>
  <c r="AB36" i="77"/>
  <c r="AB47" i="77"/>
  <c r="AB57" i="77"/>
  <c r="H38" i="64"/>
  <c r="L31" i="14"/>
  <c r="AB25" i="77"/>
  <c r="AB37" i="77"/>
  <c r="M31" i="14"/>
  <c r="M23" i="14"/>
  <c r="M27" i="14"/>
  <c r="L3" i="15"/>
  <c r="AB51" i="77"/>
  <c r="L4" i="15"/>
  <c r="AB15" i="77"/>
  <c r="M24" i="14"/>
  <c r="L5" i="15"/>
  <c r="AB17" i="77"/>
  <c r="L6" i="15"/>
  <c r="I64" i="28"/>
  <c r="I66" i="28"/>
  <c r="J26" i="75"/>
  <c r="IC40" i="70"/>
  <c r="HW40" i="70"/>
  <c r="IE40" i="70"/>
  <c r="JC45" i="70"/>
  <c r="AR45" i="70"/>
  <c r="AZ45" i="70"/>
  <c r="KG36" i="70"/>
  <c r="KE16" i="70"/>
  <c r="BP45" i="70"/>
  <c r="KE9" i="70"/>
  <c r="KE22" i="70"/>
  <c r="AJ45" i="70"/>
  <c r="KE36" i="70"/>
  <c r="KE11" i="70"/>
  <c r="KG11" i="70"/>
  <c r="KH33" i="70"/>
  <c r="KG19" i="70"/>
  <c r="IG38" i="70"/>
  <c r="JH40" i="70"/>
  <c r="BH45" i="70"/>
  <c r="CF45" i="70"/>
  <c r="DX45" i="70"/>
  <c r="L26" i="28"/>
  <c r="AC33" i="62"/>
  <c r="AC27" i="62" s="1"/>
  <c r="R49" i="21"/>
  <c r="S49" i="21"/>
  <c r="I75" i="28"/>
  <c r="EF45" i="70"/>
  <c r="T45" i="70"/>
  <c r="P45" i="70"/>
  <c r="X45" i="70"/>
  <c r="HN45" i="70"/>
  <c r="AU10" i="21"/>
  <c r="AT10" i="21"/>
  <c r="AA14" i="21"/>
  <c r="AB14" i="21" s="1"/>
  <c r="AT14" i="21"/>
  <c r="AU14" i="21"/>
  <c r="AU8" i="21"/>
  <c r="AT8" i="21"/>
  <c r="AU15" i="21"/>
  <c r="AT15" i="21"/>
  <c r="AA11" i="21"/>
  <c r="AB11" i="21" s="1"/>
  <c r="AT11" i="21"/>
  <c r="AU11" i="21"/>
  <c r="AU9" i="21"/>
  <c r="AT9" i="21"/>
  <c r="AA12" i="21"/>
  <c r="AB12" i="21" s="1"/>
  <c r="AT12" i="21"/>
  <c r="AU12" i="21"/>
  <c r="AV11" i="21"/>
  <c r="AU7" i="21"/>
  <c r="AV7" i="21"/>
  <c r="AT7" i="21"/>
  <c r="AV12" i="21"/>
  <c r="AV10" i="21"/>
  <c r="AV13" i="21"/>
  <c r="AV16" i="21"/>
  <c r="AV9" i="21"/>
  <c r="AV14" i="21"/>
  <c r="AV8" i="21"/>
  <c r="AV15" i="21"/>
  <c r="AT13" i="21"/>
  <c r="AU13" i="21"/>
  <c r="H100" i="28"/>
  <c r="E97" i="28"/>
  <c r="E95" i="28"/>
  <c r="E99" i="28"/>
  <c r="E105" i="28"/>
  <c r="L7" i="13"/>
  <c r="M94" i="59"/>
  <c r="H94" i="59"/>
  <c r="G94" i="59"/>
  <c r="AE5" i="21"/>
  <c r="AF5" i="21" s="1"/>
  <c r="AA5" i="21"/>
  <c r="AB5" i="21" s="1"/>
  <c r="AA15" i="21"/>
  <c r="AB15" i="21" s="1"/>
  <c r="AE10" i="21"/>
  <c r="AF10" i="21" s="1"/>
  <c r="AA10" i="21"/>
  <c r="AB10" i="21" s="1"/>
  <c r="AE8" i="21"/>
  <c r="AF8" i="21" s="1"/>
  <c r="AA8" i="21"/>
  <c r="AB8" i="21" s="1"/>
  <c r="AE6" i="21"/>
  <c r="AF6" i="21" s="1"/>
  <c r="AE9" i="21"/>
  <c r="AF9" i="21" s="1"/>
  <c r="AA9" i="21"/>
  <c r="AB9" i="21" s="1"/>
  <c r="AE7" i="21"/>
  <c r="AF7" i="21" s="1"/>
  <c r="AA7" i="21"/>
  <c r="AB7" i="21" s="1"/>
  <c r="FY38" i="70"/>
  <c r="FY39" i="70" s="1"/>
  <c r="AA13" i="21"/>
  <c r="AB13" i="21" s="1"/>
  <c r="AE11" i="21"/>
  <c r="AF11" i="21" s="1"/>
  <c r="KE7" i="70"/>
  <c r="AF45" i="70"/>
  <c r="AN45" i="70"/>
  <c r="AV45" i="70"/>
  <c r="BD45" i="70"/>
  <c r="BL45" i="70"/>
  <c r="BT45" i="70"/>
  <c r="CB45" i="70"/>
  <c r="CJ45" i="70"/>
  <c r="CR45" i="70"/>
  <c r="EB45" i="70"/>
  <c r="EZ45" i="70"/>
  <c r="KG9" i="70"/>
  <c r="DH45" i="70"/>
  <c r="KH11" i="70"/>
  <c r="KG22" i="70"/>
  <c r="HJ45" i="70"/>
  <c r="KH14" i="70"/>
  <c r="AB45" i="70"/>
  <c r="BX45" i="70"/>
  <c r="CN45" i="70"/>
  <c r="CV45" i="70"/>
  <c r="K26" i="75"/>
  <c r="EQ39" i="70"/>
  <c r="EQ40" i="70" s="1"/>
  <c r="FA45" i="70"/>
  <c r="EW42" i="70"/>
  <c r="O5" i="62"/>
  <c r="P9" i="62" s="1"/>
  <c r="AD33" i="62"/>
  <c r="AD27" i="62" s="1"/>
  <c r="AE12" i="21"/>
  <c r="AF12" i="21" s="1"/>
  <c r="GA38" i="70"/>
  <c r="GA39" i="70" s="1"/>
  <c r="GA85" i="110"/>
  <c r="GA86" i="110" s="1"/>
  <c r="FZ38" i="70"/>
  <c r="FZ39" i="70" s="1"/>
  <c r="FZ85" i="110"/>
  <c r="FZ86" i="110" s="1"/>
  <c r="FZ89" i="110" s="1"/>
  <c r="AE15" i="21"/>
  <c r="AW15" i="21"/>
  <c r="AX15" i="21"/>
  <c r="AE14" i="21"/>
  <c r="AF14" i="21" s="1"/>
  <c r="AW14" i="21"/>
  <c r="AX14" i="21"/>
  <c r="AE13" i="21"/>
  <c r="AF13" i="21" s="1"/>
  <c r="AW13" i="21"/>
  <c r="AY14" i="21"/>
  <c r="AY13" i="21"/>
  <c r="AX13" i="21"/>
  <c r="AY15" i="21"/>
  <c r="M21" i="21"/>
  <c r="I79" i="28"/>
  <c r="I77" i="28"/>
  <c r="O41" i="21"/>
  <c r="AZ10" i="21"/>
  <c r="BA10" i="21"/>
  <c r="AZ13" i="21"/>
  <c r="BA13" i="21"/>
  <c r="BA9" i="21"/>
  <c r="AZ9" i="21"/>
  <c r="AZ8" i="21"/>
  <c r="BA8" i="21"/>
  <c r="AZ7" i="21"/>
  <c r="BA7" i="21"/>
  <c r="AZ6" i="21"/>
  <c r="BA6" i="21"/>
  <c r="BA5" i="21"/>
  <c r="AZ5" i="21"/>
  <c r="BA4" i="21"/>
  <c r="BB10" i="21"/>
  <c r="BB7" i="21"/>
  <c r="BB5" i="21"/>
  <c r="AZ4" i="21"/>
  <c r="P28" i="21"/>
  <c r="D26" i="75"/>
  <c r="I73" i="28"/>
  <c r="AF4" i="21"/>
  <c r="JV6" i="70"/>
  <c r="KF6" i="70" s="1"/>
  <c r="IL6" i="70"/>
  <c r="IL7" i="70"/>
  <c r="EV43" i="70"/>
  <c r="EV45" i="70" s="1"/>
  <c r="EV39" i="70"/>
  <c r="EV42" i="70" s="1"/>
  <c r="I231" i="59"/>
  <c r="BA11" i="62"/>
  <c r="D23" i="75"/>
  <c r="BK20" i="62"/>
  <c r="BM20" i="62" s="1"/>
  <c r="L32" i="75"/>
  <c r="AM17" i="21" l="1"/>
  <c r="AN17" i="21"/>
  <c r="I98" i="28"/>
  <c r="D34" i="97"/>
  <c r="D35" i="97" s="1"/>
  <c r="E29" i="97"/>
  <c r="D49" i="97"/>
  <c r="E48" i="97" s="1"/>
  <c r="H30" i="94"/>
  <c r="D48" i="95"/>
  <c r="C4" i="50"/>
  <c r="D4" i="50"/>
  <c r="Y11" i="49"/>
  <c r="I96" i="28"/>
  <c r="T4" i="49"/>
  <c r="T9" i="49"/>
  <c r="K41" i="77"/>
  <c r="K14" i="77"/>
  <c r="K63" i="77"/>
  <c r="K31" i="77"/>
  <c r="K15" i="77"/>
  <c r="K16" i="77"/>
  <c r="K17" i="77"/>
  <c r="K35" i="77"/>
  <c r="K44" i="77"/>
  <c r="K64" i="77"/>
  <c r="K28" i="77"/>
  <c r="K24" i="77"/>
  <c r="K69" i="77"/>
  <c r="K61" i="77"/>
  <c r="K46" i="77"/>
  <c r="K53" i="77"/>
  <c r="K26" i="77"/>
  <c r="K12" i="77"/>
  <c r="K13" i="77"/>
  <c r="K58" i="77"/>
  <c r="K38" i="77"/>
  <c r="K65" i="77"/>
  <c r="K51" i="77"/>
  <c r="K36" i="77"/>
  <c r="K50" i="77"/>
  <c r="K67" i="77"/>
  <c r="K22" i="77"/>
  <c r="K20" i="77"/>
  <c r="K23" i="77"/>
  <c r="K34" i="77"/>
  <c r="K25" i="77"/>
  <c r="K52" i="77"/>
  <c r="K37" i="77"/>
  <c r="K57" i="77"/>
  <c r="K9" i="77"/>
  <c r="K59" i="77"/>
  <c r="K29" i="77"/>
  <c r="K66" i="77"/>
  <c r="K45" i="77"/>
  <c r="K60" i="77"/>
  <c r="K56" i="77"/>
  <c r="K18" i="77"/>
  <c r="K39" i="77"/>
  <c r="K48" i="77"/>
  <c r="K42" i="77"/>
  <c r="K49" i="77"/>
  <c r="K21" i="77"/>
  <c r="K43" i="77"/>
  <c r="K30" i="77"/>
  <c r="K32" i="77"/>
  <c r="K19" i="77"/>
  <c r="P8" i="77"/>
  <c r="X15" i="77"/>
  <c r="AB19" i="77"/>
  <c r="E28" i="97"/>
  <c r="E30" i="97"/>
  <c r="E32" i="97"/>
  <c r="H33" i="97"/>
  <c r="O34" i="97" s="1"/>
  <c r="E31" i="97"/>
  <c r="J30" i="94"/>
  <c r="H28" i="94"/>
  <c r="AR9" i="21"/>
  <c r="B29" i="75"/>
  <c r="AI6" i="21"/>
  <c r="AN6" i="21"/>
  <c r="AR15" i="21"/>
  <c r="AR12" i="21"/>
  <c r="AR4" i="21"/>
  <c r="O47" i="21"/>
  <c r="AE51" i="21"/>
  <c r="AR13" i="21"/>
  <c r="J56" i="28"/>
  <c r="O45" i="21"/>
  <c r="O43" i="21"/>
  <c r="O44" i="21" s="1"/>
  <c r="N43" i="21"/>
  <c r="O2" i="21"/>
  <c r="AR7" i="21"/>
  <c r="AR10" i="21"/>
  <c r="AR8" i="21"/>
  <c r="O49" i="21"/>
  <c r="AJ8" i="21"/>
  <c r="Q16" i="21"/>
  <c r="AK4" i="21"/>
  <c r="AI4" i="21"/>
  <c r="AR11" i="21"/>
  <c r="AR14" i="21"/>
  <c r="AD17" i="21"/>
  <c r="AD18" i="21" s="1"/>
  <c r="AR6" i="21"/>
  <c r="N33" i="97"/>
  <c r="I29" i="97"/>
  <c r="D50" i="97"/>
  <c r="D51" i="97" s="1"/>
  <c r="L28" i="28"/>
  <c r="D11" i="97"/>
  <c r="E9" i="97" s="1"/>
  <c r="H11" i="97"/>
  <c r="H49" i="97"/>
  <c r="K111" i="28"/>
  <c r="J111" i="28"/>
  <c r="G29" i="75" s="1"/>
  <c r="J38" i="94"/>
  <c r="H40" i="94"/>
  <c r="K110" i="28"/>
  <c r="L113" i="28" s="1"/>
  <c r="J110" i="28"/>
  <c r="F29" i="75" s="1"/>
  <c r="E48" i="95"/>
  <c r="C48" i="95"/>
  <c r="K31" i="93"/>
  <c r="H32" i="93" s="1"/>
  <c r="I102" i="28"/>
  <c r="P12" i="49"/>
  <c r="H96" i="28"/>
  <c r="G98" i="28"/>
  <c r="I100" i="28"/>
  <c r="Y9" i="49"/>
  <c r="Y7" i="49"/>
  <c r="Y4" i="49"/>
  <c r="Y5" i="49"/>
  <c r="Y6" i="49"/>
  <c r="AA10" i="49"/>
  <c r="AA8" i="49"/>
  <c r="AA6" i="49"/>
  <c r="AA4" i="49"/>
  <c r="AA9" i="49"/>
  <c r="AA7" i="49"/>
  <c r="AA5" i="49"/>
  <c r="H98" i="28"/>
  <c r="J105" i="28"/>
  <c r="J102" i="28" s="1"/>
  <c r="H102" i="28"/>
  <c r="W7" i="49"/>
  <c r="G100" i="28"/>
  <c r="O12" i="49"/>
  <c r="W6" i="49"/>
  <c r="Z4" i="49"/>
  <c r="R12" i="49"/>
  <c r="W11" i="49"/>
  <c r="W5" i="49"/>
  <c r="K112" i="28"/>
  <c r="Z6" i="49"/>
  <c r="U8" i="49"/>
  <c r="U6" i="49"/>
  <c r="V5" i="49"/>
  <c r="V9" i="49"/>
  <c r="Z10" i="49"/>
  <c r="K105" i="28"/>
  <c r="J112" i="28"/>
  <c r="U4" i="49"/>
  <c r="T7" i="49"/>
  <c r="Z7" i="49"/>
  <c r="Q12" i="49"/>
  <c r="U7" i="49"/>
  <c r="V6" i="49"/>
  <c r="V11" i="49"/>
  <c r="G104" i="28"/>
  <c r="L12" i="49"/>
  <c r="N12" i="49"/>
  <c r="U9" i="49"/>
  <c r="K12" i="49"/>
  <c r="Z11" i="49"/>
  <c r="G102" i="28"/>
  <c r="H104" i="28"/>
  <c r="T5" i="49"/>
  <c r="Z5" i="49"/>
  <c r="G96" i="28"/>
  <c r="I104" i="28"/>
  <c r="M12" i="49"/>
  <c r="V4" i="49"/>
  <c r="Z9" i="49"/>
  <c r="K96" i="28"/>
  <c r="D25" i="48"/>
  <c r="B17" i="9"/>
  <c r="B18" i="9" s="1"/>
  <c r="N14" i="9"/>
  <c r="N8" i="72"/>
  <c r="IX43" i="70"/>
  <c r="GD45" i="70"/>
  <c r="H112" i="28"/>
  <c r="H114" i="28"/>
  <c r="I112" i="28"/>
  <c r="H113" i="28"/>
  <c r="I113" i="28"/>
  <c r="AK5" i="21"/>
  <c r="AI5" i="21"/>
  <c r="W17" i="21"/>
  <c r="M25" i="9"/>
  <c r="M17" i="9" s="1"/>
  <c r="M27" i="9" s="1"/>
  <c r="J29" i="21"/>
  <c r="AK6" i="21"/>
  <c r="L9" i="62"/>
  <c r="AB40" i="62"/>
  <c r="BL4" i="62"/>
  <c r="BP23" i="62" s="1"/>
  <c r="E73" i="28"/>
  <c r="AF59" i="62"/>
  <c r="F73" i="28"/>
  <c r="K9" i="62"/>
  <c r="AE40" i="62"/>
  <c r="AE34" i="62" s="1"/>
  <c r="AE44" i="62" s="1"/>
  <c r="Y40" i="62"/>
  <c r="Y34" i="62" s="1"/>
  <c r="Y44" i="62" s="1"/>
  <c r="AA40" i="62"/>
  <c r="AA59" i="62"/>
  <c r="AE42" i="62"/>
  <c r="H73" i="28"/>
  <c r="BK19" i="62"/>
  <c r="BM19" i="62" s="1"/>
  <c r="AB33" i="62"/>
  <c r="AB27" i="62" s="1"/>
  <c r="AA33" i="62"/>
  <c r="AA27" i="62" s="1"/>
  <c r="AC59" i="62"/>
  <c r="BB11" i="62"/>
  <c r="AF40" i="62"/>
  <c r="Y33" i="62"/>
  <c r="Y27" i="62" s="1"/>
  <c r="AE59" i="62"/>
  <c r="BP26" i="62"/>
  <c r="AG35" i="62"/>
  <c r="AF42" i="62"/>
  <c r="AC34" i="62"/>
  <c r="AC44" i="62" s="1"/>
  <c r="C16" i="75"/>
  <c r="AG59" i="62"/>
  <c r="Z42" i="62"/>
  <c r="Z34" i="62" s="1"/>
  <c r="Z44" i="62" s="1"/>
  <c r="AH59" i="62"/>
  <c r="AG40" i="62"/>
  <c r="AG33" i="62"/>
  <c r="AG27" i="62" s="1"/>
  <c r="AG42" i="62"/>
  <c r="AB34" i="62"/>
  <c r="AB44" i="62" s="1"/>
  <c r="AB59" i="62"/>
  <c r="AX5" i="62"/>
  <c r="AA34" i="62"/>
  <c r="AA44" i="62" s="1"/>
  <c r="AD59" i="62"/>
  <c r="AW5" i="62"/>
  <c r="X40" i="62"/>
  <c r="X34" i="62" s="1"/>
  <c r="X44" i="62" s="1"/>
  <c r="AH44" i="62"/>
  <c r="X33" i="62"/>
  <c r="X27" i="62" s="1"/>
  <c r="J9" i="62"/>
  <c r="W40" i="62"/>
  <c r="W34" i="62" s="1"/>
  <c r="W44" i="62" s="1"/>
  <c r="AD42" i="62"/>
  <c r="AD34" i="62" s="1"/>
  <c r="AD44" i="62" s="1"/>
  <c r="W33" i="62"/>
  <c r="W27" i="62" s="1"/>
  <c r="Z33" i="62"/>
  <c r="Z27" i="62" s="1"/>
  <c r="N45" i="21"/>
  <c r="AQ11" i="21"/>
  <c r="BA12" i="21"/>
  <c r="I56" i="28"/>
  <c r="N29" i="21"/>
  <c r="AQ4" i="21"/>
  <c r="L25" i="9"/>
  <c r="L17" i="9" s="1"/>
  <c r="L27" i="9" s="1"/>
  <c r="AP9" i="21"/>
  <c r="AP15" i="21"/>
  <c r="AQ15" i="21"/>
  <c r="AP6" i="21"/>
  <c r="BB8" i="21"/>
  <c r="AZ14" i="21"/>
  <c r="O20" i="21"/>
  <c r="B26" i="75"/>
  <c r="AQ10" i="21"/>
  <c r="J20" i="21"/>
  <c r="S45" i="21"/>
  <c r="AP10" i="21"/>
  <c r="H27" i="9"/>
  <c r="O53" i="21"/>
  <c r="O22" i="21"/>
  <c r="BA14" i="21"/>
  <c r="O29" i="21"/>
  <c r="AQ14" i="21"/>
  <c r="AQ12" i="21"/>
  <c r="T45" i="21"/>
  <c r="AP11" i="21"/>
  <c r="H56" i="28"/>
  <c r="BB6" i="21"/>
  <c r="AT16" i="21"/>
  <c r="N47" i="21"/>
  <c r="AQ6" i="21"/>
  <c r="N41" i="21"/>
  <c r="O42" i="21" s="1"/>
  <c r="R47" i="21"/>
  <c r="T47" i="21"/>
  <c r="AP14" i="21"/>
  <c r="AP5" i="21"/>
  <c r="AK9" i="21"/>
  <c r="P22" i="21"/>
  <c r="AQ13" i="21"/>
  <c r="AZ12" i="21"/>
  <c r="AU16" i="21"/>
  <c r="AQ5" i="21"/>
  <c r="M45" i="21"/>
  <c r="M47" i="21"/>
  <c r="AZ11" i="21"/>
  <c r="N20" i="21"/>
  <c r="AQ7" i="21"/>
  <c r="AQ9" i="21"/>
  <c r="T49" i="21"/>
  <c r="T50" i="21" s="1"/>
  <c r="S43" i="21"/>
  <c r="S44" i="21" s="1"/>
  <c r="S51" i="21" s="1"/>
  <c r="R45" i="21"/>
  <c r="S47" i="21"/>
  <c r="AP12" i="21"/>
  <c r="AP4" i="21"/>
  <c r="B13" i="75"/>
  <c r="AJ12" i="21"/>
  <c r="AK12" i="21" s="1"/>
  <c r="AK10" i="21"/>
  <c r="C27" i="9"/>
  <c r="KI35" i="70"/>
  <c r="JS38" i="70"/>
  <c r="KJ8" i="70"/>
  <c r="GI45" i="70"/>
  <c r="GW45" i="70"/>
  <c r="DR45" i="70"/>
  <c r="KE21" i="70"/>
  <c r="KG10" i="70"/>
  <c r="EZ40" i="70"/>
  <c r="GS44" i="70"/>
  <c r="JV35" i="70"/>
  <c r="KF35" i="70" s="1"/>
  <c r="IZ43" i="70"/>
  <c r="KE6" i="70"/>
  <c r="KE20" i="70"/>
  <c r="FC40" i="70"/>
  <c r="GK45" i="70"/>
  <c r="KF13" i="70"/>
  <c r="GK44" i="70"/>
  <c r="GB39" i="70"/>
  <c r="GT45" i="70"/>
  <c r="FN45" i="70"/>
  <c r="HE45" i="70"/>
  <c r="FF45" i="70"/>
  <c r="KE13" i="70"/>
  <c r="JV26" i="70"/>
  <c r="IW43" i="70"/>
  <c r="IW45" i="70" s="1"/>
  <c r="GC45" i="70"/>
  <c r="J25" i="9"/>
  <c r="J17" i="9" s="1"/>
  <c r="J27" i="9" s="1"/>
  <c r="B16" i="75"/>
  <c r="FH89" i="110"/>
  <c r="FH91" i="110"/>
  <c r="BA11" i="21"/>
  <c r="J43" i="21"/>
  <c r="J44" i="21" s="1"/>
  <c r="BB12" i="21"/>
  <c r="J45" i="21"/>
  <c r="J46" i="21" s="1"/>
  <c r="E56" i="28"/>
  <c r="E57" i="28" s="1"/>
  <c r="I25" i="9"/>
  <c r="I17" i="9" s="1"/>
  <c r="I18" i="9" s="1"/>
  <c r="AJ11" i="21"/>
  <c r="AK11" i="21" s="1"/>
  <c r="BB9" i="21"/>
  <c r="BB13" i="21"/>
  <c r="BB11" i="21"/>
  <c r="AE16" i="21"/>
  <c r="AE17" i="21" s="1"/>
  <c r="AJ7" i="21"/>
  <c r="GD38" i="70"/>
  <c r="GD39" i="70" s="1"/>
  <c r="GD44" i="70" s="1"/>
  <c r="D17" i="9"/>
  <c r="D18" i="9" s="1"/>
  <c r="E19" i="9" s="1"/>
  <c r="AJ14" i="21"/>
  <c r="AK14" i="21" s="1"/>
  <c r="AE33" i="21"/>
  <c r="AD33" i="21" s="1"/>
  <c r="FZ91" i="110"/>
  <c r="L21" i="21"/>
  <c r="M43" i="21"/>
  <c r="N44" i="21" s="1"/>
  <c r="Q47" i="21"/>
  <c r="AL47" i="21" s="1"/>
  <c r="Q49" i="21"/>
  <c r="AL49" i="21" s="1"/>
  <c r="Q51" i="21"/>
  <c r="AL51" i="21" s="1"/>
  <c r="Q43" i="21"/>
  <c r="Q45" i="21"/>
  <c r="AL45" i="21" s="1"/>
  <c r="GE38" i="70"/>
  <c r="GE39" i="70" s="1"/>
  <c r="L28" i="21"/>
  <c r="GF38" i="70"/>
  <c r="GF39" i="70" s="1"/>
  <c r="GF40" i="70" s="1"/>
  <c r="R10" i="21"/>
  <c r="BB14" i="21"/>
  <c r="AA16" i="21"/>
  <c r="L16" i="21"/>
  <c r="L20" i="21" s="1"/>
  <c r="AG47" i="21"/>
  <c r="GG38" i="70"/>
  <c r="GG39" i="70" s="1"/>
  <c r="GG40" i="70" s="1"/>
  <c r="GH38" i="70"/>
  <c r="GH39" i="70" s="1"/>
  <c r="GH40" i="70" s="1"/>
  <c r="R4" i="21"/>
  <c r="R7" i="21"/>
  <c r="W16" i="21"/>
  <c r="J42" i="21"/>
  <c r="AG53" i="21"/>
  <c r="IG85" i="110"/>
  <c r="I103" i="109"/>
  <c r="M92" i="109"/>
  <c r="E103" i="109"/>
  <c r="L86" i="109"/>
  <c r="L117" i="109"/>
  <c r="M118" i="109"/>
  <c r="L90" i="109"/>
  <c r="L89" i="109"/>
  <c r="K134" i="28"/>
  <c r="K136" i="28"/>
  <c r="L115" i="109"/>
  <c r="M123" i="109"/>
  <c r="L94" i="109"/>
  <c r="M113" i="109"/>
  <c r="H128" i="109"/>
  <c r="I128" i="109"/>
  <c r="L85" i="109"/>
  <c r="M96" i="109"/>
  <c r="L113" i="109"/>
  <c r="M117" i="109"/>
  <c r="L114" i="109"/>
  <c r="E128" i="109"/>
  <c r="L121" i="109"/>
  <c r="G128" i="109"/>
  <c r="M112" i="109"/>
  <c r="M114" i="109"/>
  <c r="B128" i="109"/>
  <c r="L111" i="109"/>
  <c r="L112" i="109"/>
  <c r="C128" i="109"/>
  <c r="F128" i="109"/>
  <c r="F129" i="109" s="1"/>
  <c r="I136" i="28" s="1"/>
  <c r="D103" i="109"/>
  <c r="F103" i="109"/>
  <c r="F104" i="109" s="1"/>
  <c r="J136" i="28" s="1"/>
  <c r="G103" i="109"/>
  <c r="M88" i="109"/>
  <c r="C103" i="109"/>
  <c r="L91" i="109"/>
  <c r="B103" i="109"/>
  <c r="L95" i="109"/>
  <c r="M85" i="109"/>
  <c r="H103" i="109"/>
  <c r="H104" i="109" s="1"/>
  <c r="J137" i="28" s="1"/>
  <c r="L87" i="109"/>
  <c r="L88" i="109"/>
  <c r="M111" i="109"/>
  <c r="L116" i="109"/>
  <c r="M87" i="109"/>
  <c r="M116" i="109"/>
  <c r="M119" i="109"/>
  <c r="D128" i="109"/>
  <c r="K129" i="28"/>
  <c r="J129" i="28"/>
  <c r="K130" i="28" s="1"/>
  <c r="G126" i="28"/>
  <c r="G129" i="28" s="1"/>
  <c r="I129" i="28"/>
  <c r="C21" i="59"/>
  <c r="J147" i="59"/>
  <c r="O154" i="59"/>
  <c r="M109" i="59"/>
  <c r="I86" i="59"/>
  <c r="H259" i="59"/>
  <c r="L183" i="59"/>
  <c r="I259" i="59"/>
  <c r="C94" i="59"/>
  <c r="K34" i="59"/>
  <c r="F133" i="59"/>
  <c r="J259" i="59"/>
  <c r="K60" i="59"/>
  <c r="D97" i="59"/>
  <c r="M195" i="59"/>
  <c r="K259" i="59"/>
  <c r="H121" i="59"/>
  <c r="H195" i="59"/>
  <c r="J34" i="59"/>
  <c r="J159" i="59"/>
  <c r="H133" i="59"/>
  <c r="G21" i="59"/>
  <c r="M46" i="59"/>
  <c r="M56" i="59"/>
  <c r="L9" i="59"/>
  <c r="L17" i="59"/>
  <c r="F56" i="59"/>
  <c r="I183" i="59"/>
  <c r="H111" i="59"/>
  <c r="M219" i="59"/>
  <c r="N259" i="59"/>
  <c r="F60" i="59"/>
  <c r="E56" i="59"/>
  <c r="E109" i="59"/>
  <c r="K147" i="59"/>
  <c r="H171" i="59"/>
  <c r="F183" i="59"/>
  <c r="J195" i="59"/>
  <c r="M99" i="59"/>
  <c r="X55" i="59"/>
  <c r="H30" i="59"/>
  <c r="L71" i="59"/>
  <c r="D147" i="59"/>
  <c r="L147" i="59"/>
  <c r="G183" i="59"/>
  <c r="O193" i="59"/>
  <c r="C195" i="59"/>
  <c r="K195" i="59"/>
  <c r="K20" i="59"/>
  <c r="L133" i="59"/>
  <c r="E183" i="59"/>
  <c r="M33" i="59"/>
  <c r="G9" i="59"/>
  <c r="C9" i="59"/>
  <c r="K9" i="59"/>
  <c r="K22" i="59" s="1"/>
  <c r="G17" i="59"/>
  <c r="K17" i="59"/>
  <c r="C30" i="59"/>
  <c r="C48" i="59" s="1"/>
  <c r="F61" i="59"/>
  <c r="P158" i="59"/>
  <c r="K56" i="59"/>
  <c r="K61" i="59" s="1"/>
  <c r="N84" i="59"/>
  <c r="P130" i="59"/>
  <c r="C183" i="59"/>
  <c r="O178" i="59"/>
  <c r="I195" i="59"/>
  <c r="J71" i="59"/>
  <c r="K97" i="59"/>
  <c r="H68" i="59"/>
  <c r="H86" i="59" s="1"/>
  <c r="I71" i="59"/>
  <c r="N86" i="59"/>
  <c r="G159" i="59"/>
  <c r="O181" i="59"/>
  <c r="P182" i="59"/>
  <c r="J183" i="59"/>
  <c r="V55" i="59"/>
  <c r="G109" i="59"/>
  <c r="N219" i="59"/>
  <c r="F195" i="59"/>
  <c r="H109" i="59"/>
  <c r="E121" i="59"/>
  <c r="D195" i="59"/>
  <c r="I264" i="59"/>
  <c r="P226" i="59"/>
  <c r="J72" i="59"/>
  <c r="D56" i="59"/>
  <c r="D61" i="59" s="1"/>
  <c r="M60" i="59"/>
  <c r="H147" i="59"/>
  <c r="F171" i="59"/>
  <c r="E30" i="59"/>
  <c r="E48" i="59" s="1"/>
  <c r="K47" i="59"/>
  <c r="N118" i="59"/>
  <c r="N135" i="59" s="1"/>
  <c r="N97" i="59"/>
  <c r="N71" i="59"/>
  <c r="E94" i="59"/>
  <c r="E99" i="59" s="1"/>
  <c r="L94" i="59"/>
  <c r="L99" i="59" s="1"/>
  <c r="H219" i="59"/>
  <c r="P230" i="59"/>
  <c r="J84" i="59"/>
  <c r="M118" i="59"/>
  <c r="M135" i="59" s="1"/>
  <c r="F71" i="59"/>
  <c r="D109" i="59"/>
  <c r="E118" i="59"/>
  <c r="E123" i="59" s="1"/>
  <c r="G171" i="59"/>
  <c r="G34" i="59"/>
  <c r="P40" i="59"/>
  <c r="O81" i="59"/>
  <c r="H159" i="59"/>
  <c r="E171" i="59"/>
  <c r="M171" i="59"/>
  <c r="G99" i="59"/>
  <c r="C68" i="59"/>
  <c r="C86" i="59" s="1"/>
  <c r="G20" i="59"/>
  <c r="N99" i="59"/>
  <c r="N207" i="59"/>
  <c r="I219" i="59"/>
  <c r="K207" i="59"/>
  <c r="E9" i="59"/>
  <c r="M9" i="59"/>
  <c r="I21" i="59"/>
  <c r="E46" i="59"/>
  <c r="C109" i="59"/>
  <c r="D183" i="59"/>
  <c r="K183" i="59"/>
  <c r="G195" i="59"/>
  <c r="O218" i="59"/>
  <c r="C71" i="59"/>
  <c r="H72" i="59"/>
  <c r="C118" i="59"/>
  <c r="C135" i="59" s="1"/>
  <c r="F9" i="59"/>
  <c r="F22" i="59" s="1"/>
  <c r="N9" i="59"/>
  <c r="M72" i="59"/>
  <c r="I99" i="59"/>
  <c r="M147" i="59"/>
  <c r="C171" i="59"/>
  <c r="K159" i="59"/>
  <c r="O166" i="59"/>
  <c r="H183" i="59"/>
  <c r="P181" i="59"/>
  <c r="L195" i="59"/>
  <c r="P194" i="59"/>
  <c r="P205" i="59"/>
  <c r="C34" i="59"/>
  <c r="F147" i="59"/>
  <c r="N147" i="59"/>
  <c r="D171" i="59"/>
  <c r="L171" i="59"/>
  <c r="I207" i="59"/>
  <c r="I56" i="59"/>
  <c r="I61" i="59" s="1"/>
  <c r="K71" i="59"/>
  <c r="D71" i="59"/>
  <c r="H33" i="59"/>
  <c r="N111" i="59"/>
  <c r="N183" i="59"/>
  <c r="K35" i="59"/>
  <c r="G71" i="59"/>
  <c r="D59" i="59"/>
  <c r="H34" i="59"/>
  <c r="I121" i="59"/>
  <c r="M59" i="59"/>
  <c r="L20" i="59"/>
  <c r="P81" i="59"/>
  <c r="E72" i="59"/>
  <c r="N121" i="59"/>
  <c r="I60" i="59"/>
  <c r="N43" i="59"/>
  <c r="N48" i="59" s="1"/>
  <c r="H71" i="59"/>
  <c r="I84" i="59"/>
  <c r="F99" i="59"/>
  <c r="D121" i="59"/>
  <c r="K123" i="59"/>
  <c r="M183" i="59"/>
  <c r="L30" i="59"/>
  <c r="L48" i="59" s="1"/>
  <c r="Y55" i="59"/>
  <c r="Y58" i="59" s="1"/>
  <c r="D135" i="59"/>
  <c r="N159" i="59"/>
  <c r="K171" i="59"/>
  <c r="E219" i="59"/>
  <c r="H21" i="59"/>
  <c r="L219" i="59"/>
  <c r="G72" i="59"/>
  <c r="G121" i="59"/>
  <c r="P169" i="59"/>
  <c r="U55" i="59"/>
  <c r="U58" i="59" s="1"/>
  <c r="F72" i="59"/>
  <c r="C159" i="59"/>
  <c r="H9" i="59"/>
  <c r="O8" i="59"/>
  <c r="I30" i="59"/>
  <c r="I48" i="59" s="1"/>
  <c r="J56" i="59"/>
  <c r="J61" i="59" s="1"/>
  <c r="J86" i="59"/>
  <c r="O202" i="59"/>
  <c r="P190" i="59"/>
  <c r="N109" i="59"/>
  <c r="E97" i="59"/>
  <c r="O67" i="59"/>
  <c r="D20" i="59"/>
  <c r="T56" i="59"/>
  <c r="L135" i="59"/>
  <c r="I118" i="59"/>
  <c r="I123" i="59" s="1"/>
  <c r="O194" i="59"/>
  <c r="X53" i="59"/>
  <c r="X56" i="59" s="1"/>
  <c r="F30" i="59"/>
  <c r="F48" i="59" s="1"/>
  <c r="F68" i="59"/>
  <c r="J17" i="59"/>
  <c r="J22" i="59" s="1"/>
  <c r="F34" i="59"/>
  <c r="N21" i="59"/>
  <c r="L84" i="59"/>
  <c r="D68" i="59"/>
  <c r="D86" i="59" s="1"/>
  <c r="L121" i="59"/>
  <c r="E207" i="59"/>
  <c r="J207" i="59"/>
  <c r="L33" i="59"/>
  <c r="I17" i="59"/>
  <c r="K84" i="59"/>
  <c r="N195" i="59"/>
  <c r="Y53" i="59"/>
  <c r="C20" i="59"/>
  <c r="G84" i="59"/>
  <c r="D99" i="59"/>
  <c r="O142" i="59"/>
  <c r="F207" i="59"/>
  <c r="M207" i="59"/>
  <c r="P218" i="59"/>
  <c r="D111" i="59"/>
  <c r="M86" i="59"/>
  <c r="M73" i="59"/>
  <c r="D133" i="59"/>
  <c r="I111" i="59"/>
  <c r="P67" i="59"/>
  <c r="O40" i="59"/>
  <c r="N20" i="59"/>
  <c r="G47" i="59"/>
  <c r="C72" i="59"/>
  <c r="O15" i="59"/>
  <c r="L106" i="59"/>
  <c r="N171" i="59"/>
  <c r="M20" i="59"/>
  <c r="E147" i="59"/>
  <c r="P142" i="59"/>
  <c r="P147" i="59" s="1"/>
  <c r="F109" i="59"/>
  <c r="O55" i="59"/>
  <c r="M121" i="59"/>
  <c r="P178" i="59"/>
  <c r="P183" i="59" s="1"/>
  <c r="D72" i="59"/>
  <c r="N59" i="59"/>
  <c r="I109" i="59"/>
  <c r="F97" i="59"/>
  <c r="G56" i="59"/>
  <c r="G61" i="59" s="1"/>
  <c r="L68" i="59"/>
  <c r="L86" i="59" s="1"/>
  <c r="P15" i="59"/>
  <c r="C47" i="59"/>
  <c r="I59" i="59"/>
  <c r="M84" i="59"/>
  <c r="D85" i="59"/>
  <c r="K99" i="59"/>
  <c r="P206" i="59"/>
  <c r="F263" i="59"/>
  <c r="L264" i="59"/>
  <c r="I20" i="59"/>
  <c r="J109" i="59"/>
  <c r="F21" i="59"/>
  <c r="C85" i="59"/>
  <c r="C33" i="59"/>
  <c r="G68" i="59"/>
  <c r="C99" i="59"/>
  <c r="K263" i="59"/>
  <c r="G259" i="59"/>
  <c r="I33" i="59"/>
  <c r="D123" i="59"/>
  <c r="K48" i="59"/>
  <c r="O182" i="59"/>
  <c r="O205" i="59"/>
  <c r="J118" i="59"/>
  <c r="M263" i="59"/>
  <c r="N34" i="59"/>
  <c r="M17" i="59"/>
  <c r="M35" i="59" s="1"/>
  <c r="C121" i="59"/>
  <c r="N17" i="59"/>
  <c r="J121" i="59"/>
  <c r="D33" i="59"/>
  <c r="O190" i="59"/>
  <c r="O195" i="59" s="1"/>
  <c r="L109" i="59"/>
  <c r="N56" i="59"/>
  <c r="F20" i="59"/>
  <c r="G33" i="59"/>
  <c r="L56" i="59"/>
  <c r="C17" i="59"/>
  <c r="N263" i="59"/>
  <c r="C56" i="59"/>
  <c r="C61" i="59" s="1"/>
  <c r="O7" i="59"/>
  <c r="O29" i="59"/>
  <c r="I147" i="59"/>
  <c r="G207" i="59"/>
  <c r="K219" i="59"/>
  <c r="G265" i="59"/>
  <c r="P103" i="59"/>
  <c r="P106" i="59" s="1"/>
  <c r="H99" i="59"/>
  <c r="M71" i="59"/>
  <c r="L72" i="59"/>
  <c r="M159" i="59"/>
  <c r="P193" i="59"/>
  <c r="E21" i="59"/>
  <c r="H20" i="59"/>
  <c r="J30" i="59"/>
  <c r="J48" i="59" s="1"/>
  <c r="E61" i="59"/>
  <c r="F111" i="59"/>
  <c r="L207" i="59"/>
  <c r="G219" i="59"/>
  <c r="G30" i="59"/>
  <c r="F159" i="59"/>
  <c r="P55" i="59"/>
  <c r="R55" i="59" s="1"/>
  <c r="P122" i="59"/>
  <c r="H17" i="59"/>
  <c r="N60" i="59"/>
  <c r="M21" i="59"/>
  <c r="N123" i="59"/>
  <c r="C106" i="59"/>
  <c r="J94" i="59"/>
  <c r="J99" i="59" s="1"/>
  <c r="H48" i="59"/>
  <c r="G111" i="59"/>
  <c r="O130" i="59"/>
  <c r="O214" i="59"/>
  <c r="O219" i="59" s="1"/>
  <c r="E253" i="59"/>
  <c r="M253" i="59"/>
  <c r="E259" i="59"/>
  <c r="M259" i="59"/>
  <c r="P8" i="59"/>
  <c r="J106" i="59"/>
  <c r="H56" i="59"/>
  <c r="H73" i="59" s="1"/>
  <c r="P85" i="59"/>
  <c r="M43" i="59"/>
  <c r="I97" i="59"/>
  <c r="K133" i="59"/>
  <c r="D9" i="59"/>
  <c r="D21" i="59"/>
  <c r="L21" i="59"/>
  <c r="K73" i="59"/>
  <c r="C207" i="59"/>
  <c r="P202" i="59"/>
  <c r="P219" i="59" s="1"/>
  <c r="H231" i="59"/>
  <c r="F259" i="59"/>
  <c r="W58" i="59"/>
  <c r="X58" i="59"/>
  <c r="K111" i="59"/>
  <c r="K86" i="59"/>
  <c r="F123" i="59"/>
  <c r="F135" i="59"/>
  <c r="M123" i="59"/>
  <c r="M111" i="59"/>
  <c r="G123" i="59"/>
  <c r="G135" i="59"/>
  <c r="H123" i="59"/>
  <c r="H135" i="59"/>
  <c r="I135" i="59"/>
  <c r="E59" i="59"/>
  <c r="I171" i="59"/>
  <c r="P84" i="59"/>
  <c r="L159" i="59"/>
  <c r="O65" i="59"/>
  <c r="O68" i="59" s="1"/>
  <c r="P53" i="59"/>
  <c r="K135" i="59"/>
  <c r="P7" i="59"/>
  <c r="K21" i="59"/>
  <c r="J20" i="59"/>
  <c r="G133" i="59"/>
  <c r="O217" i="59"/>
  <c r="D263" i="59"/>
  <c r="M264" i="59"/>
  <c r="D264" i="59"/>
  <c r="L231" i="59"/>
  <c r="O53" i="59"/>
  <c r="D30" i="59"/>
  <c r="I9" i="59"/>
  <c r="Z53" i="59"/>
  <c r="D159" i="59"/>
  <c r="E68" i="59"/>
  <c r="I34" i="59"/>
  <c r="C219" i="59"/>
  <c r="L263" i="59"/>
  <c r="J219" i="59"/>
  <c r="J264" i="59"/>
  <c r="E264" i="59"/>
  <c r="J253" i="59"/>
  <c r="L61" i="59"/>
  <c r="K121" i="59"/>
  <c r="P91" i="59"/>
  <c r="O91" i="59"/>
  <c r="O94" i="59" s="1"/>
  <c r="I159" i="59"/>
  <c r="E33" i="59"/>
  <c r="P16" i="59"/>
  <c r="J33" i="59"/>
  <c r="O16" i="59"/>
  <c r="O115" i="59"/>
  <c r="O118" i="59" s="1"/>
  <c r="O42" i="59"/>
  <c r="E20" i="59"/>
  <c r="D207" i="59"/>
  <c r="H207" i="59"/>
  <c r="G263" i="59"/>
  <c r="E263" i="59"/>
  <c r="F264" i="59"/>
  <c r="O230" i="59"/>
  <c r="O241" i="59"/>
  <c r="D253" i="59"/>
  <c r="V58" i="59"/>
  <c r="P29" i="59"/>
  <c r="J59" i="59"/>
  <c r="P27" i="59"/>
  <c r="O103" i="59"/>
  <c r="O106" i="59" s="1"/>
  <c r="P133" i="59"/>
  <c r="K109" i="59"/>
  <c r="D34" i="59"/>
  <c r="E17" i="59"/>
  <c r="H263" i="59"/>
  <c r="G264" i="59"/>
  <c r="L253" i="59"/>
  <c r="D259" i="59"/>
  <c r="G231" i="59"/>
  <c r="P171" i="59"/>
  <c r="C147" i="59"/>
  <c r="P65" i="59"/>
  <c r="N47" i="59"/>
  <c r="P115" i="59"/>
  <c r="E71" i="59"/>
  <c r="O27" i="59"/>
  <c r="L34" i="59"/>
  <c r="I47" i="59"/>
  <c r="I263" i="59"/>
  <c r="N264" i="59"/>
  <c r="H264" i="59"/>
  <c r="D265" i="59"/>
  <c r="C242" i="59"/>
  <c r="L259" i="59"/>
  <c r="D17" i="59"/>
  <c r="P154" i="59"/>
  <c r="P159" i="59" s="1"/>
  <c r="J46" i="59"/>
  <c r="F121" i="59"/>
  <c r="P42" i="59"/>
  <c r="P217" i="59"/>
  <c r="J263" i="59"/>
  <c r="D219" i="59"/>
  <c r="K264" i="59"/>
  <c r="C264" i="59"/>
  <c r="P231" i="59"/>
  <c r="P242" i="59"/>
  <c r="O183" i="59"/>
  <c r="O229" i="59"/>
  <c r="O240" i="59"/>
  <c r="F231" i="59"/>
  <c r="F242" i="59"/>
  <c r="P229" i="59"/>
  <c r="P240" i="59"/>
  <c r="E231" i="59"/>
  <c r="E242" i="59"/>
  <c r="H253" i="59"/>
  <c r="H129" i="28"/>
  <c r="JE45" i="70"/>
  <c r="HP45" i="70"/>
  <c r="KH18" i="70"/>
  <c r="FI45" i="70"/>
  <c r="KI18" i="70"/>
  <c r="KI36" i="70"/>
  <c r="FV45" i="70"/>
  <c r="GM45" i="70"/>
  <c r="GE45" i="70"/>
  <c r="KI25" i="70"/>
  <c r="JV36" i="70"/>
  <c r="KF36" i="70" s="1"/>
  <c r="JV28" i="70"/>
  <c r="KF28" i="70" s="1"/>
  <c r="JV20" i="70"/>
  <c r="KF20" i="70" s="1"/>
  <c r="FR45" i="70"/>
  <c r="KH8" i="70"/>
  <c r="JD45" i="70"/>
  <c r="W45" i="70"/>
  <c r="S45" i="70"/>
  <c r="AA45" i="70"/>
  <c r="AI45" i="70"/>
  <c r="BC45" i="70"/>
  <c r="BK45" i="70"/>
  <c r="BG45" i="70"/>
  <c r="BO45" i="70"/>
  <c r="BW45" i="70"/>
  <c r="CQ45" i="70"/>
  <c r="CM45" i="70"/>
  <c r="CU45" i="70"/>
  <c r="DO45" i="70"/>
  <c r="DK45" i="70"/>
  <c r="DS45" i="70"/>
  <c r="EA45" i="70"/>
  <c r="EI45" i="70"/>
  <c r="EQ45" i="70"/>
  <c r="KJ20" i="70"/>
  <c r="FZ45" i="70"/>
  <c r="JV33" i="70"/>
  <c r="KF33" i="70" s="1"/>
  <c r="JV25" i="70"/>
  <c r="KF25" i="70" s="1"/>
  <c r="JV17" i="70"/>
  <c r="KF17" i="70" s="1"/>
  <c r="JV9" i="70"/>
  <c r="KF9" i="70" s="1"/>
  <c r="JV10" i="70"/>
  <c r="KF10" i="70" s="1"/>
  <c r="DM45" i="70"/>
  <c r="HL45" i="70"/>
  <c r="BQ45" i="70"/>
  <c r="HD45" i="70"/>
  <c r="KG16" i="70"/>
  <c r="HH45" i="70"/>
  <c r="HA45" i="70"/>
  <c r="IJ38" i="70"/>
  <c r="KG20" i="70"/>
  <c r="KE15" i="70"/>
  <c r="KG17" i="70"/>
  <c r="KE23" i="70"/>
  <c r="KE29" i="70"/>
  <c r="KE26" i="70"/>
  <c r="KG30" i="70"/>
  <c r="KE27" i="70"/>
  <c r="KE31" i="70"/>
  <c r="KG32" i="70"/>
  <c r="KI30" i="70"/>
  <c r="JV32" i="70"/>
  <c r="KF32" i="70" s="1"/>
  <c r="JV24" i="70"/>
  <c r="KF24" i="70" s="1"/>
  <c r="JV16" i="70"/>
  <c r="KF16" i="70" s="1"/>
  <c r="GJ45" i="70"/>
  <c r="GB45" i="70"/>
  <c r="JV11" i="70"/>
  <c r="KF11" i="70" s="1"/>
  <c r="JE44" i="70"/>
  <c r="KH32" i="70"/>
  <c r="Q45" i="70"/>
  <c r="Y45" i="70"/>
  <c r="U45" i="70"/>
  <c r="AO45" i="70"/>
  <c r="AW45" i="70"/>
  <c r="CC45" i="70"/>
  <c r="DY45" i="70"/>
  <c r="KJ32" i="70"/>
  <c r="FQ45" i="70"/>
  <c r="IU43" i="70"/>
  <c r="IY45" i="70" s="1"/>
  <c r="KK7" i="70"/>
  <c r="JV7" i="70"/>
  <c r="KF7" i="70" s="1"/>
  <c r="JV31" i="70"/>
  <c r="JV23" i="70"/>
  <c r="KF23" i="70" s="1"/>
  <c r="JV15" i="70"/>
  <c r="KF15" i="70" s="1"/>
  <c r="HU45" i="70"/>
  <c r="R45" i="70"/>
  <c r="Z45" i="70"/>
  <c r="BF45" i="70"/>
  <c r="CD45" i="70"/>
  <c r="CP45" i="70"/>
  <c r="CX45" i="70"/>
  <c r="DZ45" i="70"/>
  <c r="DV45" i="70"/>
  <c r="FY45" i="70"/>
  <c r="JV30" i="70"/>
  <c r="KF30" i="70" s="1"/>
  <c r="JV22" i="70"/>
  <c r="KF22" i="70" s="1"/>
  <c r="JV14" i="70"/>
  <c r="KF14" i="70" s="1"/>
  <c r="HQ45" i="70"/>
  <c r="FP39" i="70"/>
  <c r="FP40" i="70" s="1"/>
  <c r="JP38" i="70"/>
  <c r="JV37" i="70"/>
  <c r="KF37" i="70" s="1"/>
  <c r="JV29" i="70"/>
  <c r="KF29" i="70" s="1"/>
  <c r="KF19" i="70"/>
  <c r="C265" i="59"/>
  <c r="C267" i="59" s="1"/>
  <c r="N265" i="59"/>
  <c r="E265" i="59"/>
  <c r="H265" i="59"/>
  <c r="I265" i="59"/>
  <c r="I269" i="59" s="1"/>
  <c r="C231" i="59"/>
  <c r="F265" i="59"/>
  <c r="J231" i="59"/>
  <c r="O226" i="59"/>
  <c r="M265" i="59"/>
  <c r="J265" i="59"/>
  <c r="K265" i="59"/>
  <c r="L265" i="59"/>
  <c r="FF89" i="110"/>
  <c r="FF91" i="110"/>
  <c r="II85" i="110"/>
  <c r="ID85" i="110"/>
  <c r="F27" i="9"/>
  <c r="KF12" i="70"/>
  <c r="JT43" i="70"/>
  <c r="FE89" i="110"/>
  <c r="FE87" i="110"/>
  <c r="FE91" i="110"/>
  <c r="E27" i="9"/>
  <c r="FP86" i="110"/>
  <c r="FP89" i="110" s="1"/>
  <c r="FH87" i="110"/>
  <c r="FG87" i="110"/>
  <c r="FG91" i="110"/>
  <c r="FG89" i="110"/>
  <c r="FR91" i="110"/>
  <c r="FR89" i="110"/>
  <c r="FD91" i="110"/>
  <c r="FD89" i="110"/>
  <c r="IC86" i="110"/>
  <c r="IC87" i="110" s="1"/>
  <c r="FD87" i="110"/>
  <c r="FK87" i="110"/>
  <c r="FK91" i="110"/>
  <c r="FK89" i="110"/>
  <c r="FU91" i="110"/>
  <c r="FU89" i="110"/>
  <c r="FQ87" i="110"/>
  <c r="FQ91" i="110"/>
  <c r="FQ89" i="110"/>
  <c r="IC85" i="110"/>
  <c r="ID86" i="110"/>
  <c r="ID87" i="110" s="1"/>
  <c r="FS89" i="110"/>
  <c r="IH86" i="110"/>
  <c r="FS87" i="110"/>
  <c r="FS91" i="110"/>
  <c r="FT91" i="110"/>
  <c r="FT89" i="110"/>
  <c r="FT87" i="110"/>
  <c r="F19" i="9"/>
  <c r="FN89" i="110"/>
  <c r="FN91" i="110"/>
  <c r="FN87" i="110"/>
  <c r="FI87" i="110"/>
  <c r="FI89" i="110"/>
  <c r="FI91" i="110"/>
  <c r="FU87" i="110"/>
  <c r="FJ89" i="110"/>
  <c r="FJ87" i="110"/>
  <c r="FJ91" i="110"/>
  <c r="C19" i="9"/>
  <c r="GC40" i="70"/>
  <c r="FB89" i="110"/>
  <c r="GI40" i="70"/>
  <c r="FV89" i="110"/>
  <c r="IE85" i="110"/>
  <c r="GJ40" i="70"/>
  <c r="JA85" i="110"/>
  <c r="JA86" i="110" s="1"/>
  <c r="JA91" i="110" s="1"/>
  <c r="FV87" i="110"/>
  <c r="FY87" i="110"/>
  <c r="FZ87" i="110"/>
  <c r="IH85" i="110"/>
  <c r="FF87" i="110"/>
  <c r="FR87" i="110"/>
  <c r="AG51" i="21"/>
  <c r="AG43" i="21"/>
  <c r="AG45" i="21"/>
  <c r="N42" i="21"/>
  <c r="AG49" i="21"/>
  <c r="M49" i="21"/>
  <c r="N38" i="21"/>
  <c r="AG41" i="21"/>
  <c r="S50" i="21"/>
  <c r="AB16" i="21"/>
  <c r="IE86" i="110"/>
  <c r="FL91" i="110"/>
  <c r="FL89" i="110"/>
  <c r="FL87" i="110"/>
  <c r="FX91" i="110"/>
  <c r="FX89" i="110"/>
  <c r="FX87" i="110"/>
  <c r="L18" i="9"/>
  <c r="H67" i="28" s="1"/>
  <c r="FA87" i="110"/>
  <c r="FA89" i="110"/>
  <c r="BB15" i="21"/>
  <c r="C56" i="28"/>
  <c r="D57" i="28" s="1"/>
  <c r="F21" i="21"/>
  <c r="X13" i="21"/>
  <c r="X16" i="21" s="1"/>
  <c r="X17" i="21" s="1"/>
  <c r="AD47" i="21"/>
  <c r="FW86" i="110"/>
  <c r="AD53" i="21"/>
  <c r="K47" i="21"/>
  <c r="AD45" i="21"/>
  <c r="FM89" i="110"/>
  <c r="G25" i="9"/>
  <c r="I29" i="21"/>
  <c r="K49" i="21"/>
  <c r="F56" i="28"/>
  <c r="K45" i="21"/>
  <c r="N21" i="21"/>
  <c r="FM87" i="110"/>
  <c r="FY91" i="110"/>
  <c r="AD43" i="21"/>
  <c r="AW16" i="21"/>
  <c r="O28" i="21"/>
  <c r="AF15" i="21"/>
  <c r="AF16" i="21" s="1"/>
  <c r="AF17" i="21" s="1"/>
  <c r="O21" i="21"/>
  <c r="K29" i="21"/>
  <c r="N28" i="21"/>
  <c r="N53" i="21"/>
  <c r="N54" i="21" s="1"/>
  <c r="AD41" i="21"/>
  <c r="Q21" i="21"/>
  <c r="H45" i="21"/>
  <c r="BA15" i="21"/>
  <c r="AH16" i="21"/>
  <c r="AH17" i="21" s="1"/>
  <c r="H43" i="21"/>
  <c r="I20" i="21"/>
  <c r="AZ15" i="21"/>
  <c r="BB16" i="21"/>
  <c r="H41" i="21"/>
  <c r="K20" i="21"/>
  <c r="K41" i="21"/>
  <c r="FO91" i="110"/>
  <c r="IF86" i="110"/>
  <c r="FO89" i="110"/>
  <c r="FO87" i="110"/>
  <c r="FC89" i="110"/>
  <c r="FC87" i="110"/>
  <c r="IB86" i="110"/>
  <c r="AX16" i="21"/>
  <c r="IY85" i="110"/>
  <c r="N25" i="9"/>
  <c r="P53" i="21"/>
  <c r="O25" i="9"/>
  <c r="O17" i="9" s="1"/>
  <c r="O27" i="9" s="1"/>
  <c r="IF85" i="110"/>
  <c r="AS5" i="21"/>
  <c r="P49" i="21"/>
  <c r="AS13" i="21"/>
  <c r="P51" i="21"/>
  <c r="IB85" i="110"/>
  <c r="IZ85" i="110"/>
  <c r="IZ89" i="110" s="1"/>
  <c r="AS12" i="21"/>
  <c r="AS6" i="21"/>
  <c r="P41" i="21"/>
  <c r="P47" i="21"/>
  <c r="AS15" i="21"/>
  <c r="P43" i="21"/>
  <c r="K56" i="28"/>
  <c r="P20" i="21"/>
  <c r="P29" i="21"/>
  <c r="B32" i="75"/>
  <c r="AS11" i="21"/>
  <c r="AS10" i="21"/>
  <c r="AS4" i="21"/>
  <c r="AS14" i="21"/>
  <c r="AS7" i="21"/>
  <c r="IJ85" i="110"/>
  <c r="AJ15" i="21"/>
  <c r="AK15" i="21" s="1"/>
  <c r="AS8" i="21"/>
  <c r="P45" i="21"/>
  <c r="AS9" i="21"/>
  <c r="R51" i="116"/>
  <c r="R52" i="116"/>
  <c r="GM44" i="70"/>
  <c r="GM40" i="70"/>
  <c r="GA87" i="110"/>
  <c r="GA91" i="110"/>
  <c r="IJ86" i="110"/>
  <c r="GA89" i="110"/>
  <c r="R9" i="21"/>
  <c r="R13" i="21"/>
  <c r="R14" i="21"/>
  <c r="R15" i="21"/>
  <c r="R6" i="21"/>
  <c r="R11" i="21"/>
  <c r="R12" i="21"/>
  <c r="S2" i="21"/>
  <c r="T2" i="21" s="1"/>
  <c r="R5" i="21"/>
  <c r="FG44" i="70"/>
  <c r="FG40" i="70"/>
  <c r="IP38" i="70"/>
  <c r="EY40" i="70"/>
  <c r="CI45" i="70"/>
  <c r="KE32" i="70"/>
  <c r="HC45" i="70"/>
  <c r="AM45" i="70"/>
  <c r="KE17" i="70"/>
  <c r="KE10" i="70"/>
  <c r="IR38" i="70"/>
  <c r="IZ38" i="70"/>
  <c r="GC44" i="70"/>
  <c r="BS45" i="70"/>
  <c r="EU45" i="70"/>
  <c r="KG23" i="70"/>
  <c r="AQ45" i="70"/>
  <c r="JG44" i="70"/>
  <c r="DL45" i="70"/>
  <c r="KI28" i="70"/>
  <c r="IT43" i="70"/>
  <c r="KJ25" i="70"/>
  <c r="HK45" i="70"/>
  <c r="EM45" i="70"/>
  <c r="KE19" i="70"/>
  <c r="KG15" i="70"/>
  <c r="KJ9" i="70"/>
  <c r="FT44" i="70"/>
  <c r="KI22" i="70"/>
  <c r="KG21" i="70"/>
  <c r="GK40" i="70"/>
  <c r="JH45" i="70"/>
  <c r="AL45" i="70"/>
  <c r="BZ45" i="70"/>
  <c r="DF45" i="70"/>
  <c r="ED45" i="70"/>
  <c r="EL45" i="70"/>
  <c r="FC45" i="70"/>
  <c r="FU42" i="70"/>
  <c r="GF45" i="70"/>
  <c r="GI44" i="70"/>
  <c r="HG45" i="70"/>
  <c r="AU45" i="70"/>
  <c r="JG40" i="70"/>
  <c r="EE45" i="70"/>
  <c r="IB40" i="70"/>
  <c r="KI16" i="70"/>
  <c r="IQ43" i="70"/>
  <c r="IU45" i="70" s="1"/>
  <c r="KK16" i="70"/>
  <c r="FX45" i="70"/>
  <c r="GJ44" i="70"/>
  <c r="DG45" i="70"/>
  <c r="DC45" i="70"/>
  <c r="GU45" i="70"/>
  <c r="GA45" i="70"/>
  <c r="HT45" i="70"/>
  <c r="GY45" i="70"/>
  <c r="JF40" i="70"/>
  <c r="KH6" i="70"/>
  <c r="GL39" i="70"/>
  <c r="FW44" i="70"/>
  <c r="FW42" i="70"/>
  <c r="AS45" i="70"/>
  <c r="BA45" i="70"/>
  <c r="HM45" i="70"/>
  <c r="JJ43" i="70"/>
  <c r="JJ45" i="70" s="1"/>
  <c r="IF40" i="70"/>
  <c r="JM43" i="70"/>
  <c r="KE18" i="70"/>
  <c r="KG8" i="70"/>
  <c r="HX43" i="70"/>
  <c r="HX44" i="70" s="1"/>
  <c r="KI15" i="70"/>
  <c r="IS43" i="70"/>
  <c r="JI45" i="70"/>
  <c r="KH21" i="70"/>
  <c r="KH10" i="70"/>
  <c r="JJ42" i="70"/>
  <c r="IO38" i="70"/>
  <c r="FP45" i="70"/>
  <c r="KF27" i="70"/>
  <c r="KG26" i="70"/>
  <c r="KG27" i="70"/>
  <c r="KG31" i="70"/>
  <c r="KE33" i="70"/>
  <c r="DT45" i="70"/>
  <c r="FH44" i="70"/>
  <c r="FH42" i="70"/>
  <c r="FI44" i="70"/>
  <c r="FI42" i="70"/>
  <c r="FS44" i="70"/>
  <c r="IT39" i="70"/>
  <c r="FS42" i="70"/>
  <c r="FM44" i="70"/>
  <c r="FM40" i="70"/>
  <c r="FN44" i="70"/>
  <c r="FN40" i="70"/>
  <c r="EH45" i="70"/>
  <c r="HO45" i="70"/>
  <c r="DN45" i="70"/>
  <c r="KG18" i="70"/>
  <c r="IH38" i="70"/>
  <c r="FI40" i="70"/>
  <c r="EK45" i="70"/>
  <c r="KI21" i="70"/>
  <c r="KH37" i="70"/>
  <c r="FE39" i="70"/>
  <c r="FE40" i="70" s="1"/>
  <c r="KK27" i="70"/>
  <c r="HI44" i="70"/>
  <c r="GQ44" i="70"/>
  <c r="JO43" i="70"/>
  <c r="KI11" i="70"/>
  <c r="EP45" i="70"/>
  <c r="AT45" i="70"/>
  <c r="DB45" i="70"/>
  <c r="IN38" i="70"/>
  <c r="KG28" i="70"/>
  <c r="IB43" i="70"/>
  <c r="IB45" i="70" s="1"/>
  <c r="CY45" i="70"/>
  <c r="FT42" i="70"/>
  <c r="FG45" i="70"/>
  <c r="EX45" i="70"/>
  <c r="AX45" i="70"/>
  <c r="KG33" i="70"/>
  <c r="HI45" i="70"/>
  <c r="IA43" i="70"/>
  <c r="IA44" i="70" s="1"/>
  <c r="II43" i="70"/>
  <c r="HS43" i="70"/>
  <c r="HS45" i="70" s="1"/>
  <c r="HW43" i="70"/>
  <c r="KH20" i="70"/>
  <c r="KJ10" i="70"/>
  <c r="FO42" i="70"/>
  <c r="IP43" i="70"/>
  <c r="IT45" i="70" s="1"/>
  <c r="KE8" i="70"/>
  <c r="HX40" i="70"/>
  <c r="KI10" i="70"/>
  <c r="KI26" i="70"/>
  <c r="IT38" i="70"/>
  <c r="GZ45" i="70"/>
  <c r="FG42" i="70"/>
  <c r="KK25" i="70"/>
  <c r="JN7" i="70"/>
  <c r="JN43" i="70" s="1"/>
  <c r="KH31" i="70"/>
  <c r="IL43" i="70"/>
  <c r="FO40" i="70"/>
  <c r="GV45" i="70"/>
  <c r="IU38" i="70"/>
  <c r="JL43" i="70"/>
  <c r="JM45" i="70" s="1"/>
  <c r="ET45" i="70"/>
  <c r="IE43" i="70"/>
  <c r="IE44" i="70" s="1"/>
  <c r="IM43" i="70"/>
  <c r="KH26" i="70"/>
  <c r="KG35" i="70"/>
  <c r="EJ45" i="70"/>
  <c r="ER45" i="70"/>
  <c r="FK44" i="70"/>
  <c r="FK40" i="70"/>
  <c r="FK42" i="70"/>
  <c r="FW40" i="70"/>
  <c r="IQ39" i="70"/>
  <c r="GA40" i="70"/>
  <c r="GA42" i="70"/>
  <c r="EW45" i="70"/>
  <c r="EV40" i="70"/>
  <c r="IL39" i="70"/>
  <c r="HX45" i="70"/>
  <c r="KG6" i="70"/>
  <c r="JL42" i="70"/>
  <c r="JL39" i="70"/>
  <c r="JX12" i="70" s="1"/>
  <c r="FB40" i="70"/>
  <c r="EP40" i="70"/>
  <c r="IA40" i="70"/>
  <c r="KJ24" i="70"/>
  <c r="KH24" i="70"/>
  <c r="IQ38" i="70"/>
  <c r="FC42" i="70"/>
  <c r="IN39" i="70"/>
  <c r="KE14" i="70"/>
  <c r="JK43" i="70"/>
  <c r="KK13" i="70"/>
  <c r="KI13" i="70"/>
  <c r="ET42" i="70"/>
  <c r="ET40" i="70"/>
  <c r="IK38" i="70"/>
  <c r="IC43" i="70"/>
  <c r="IK43" i="70"/>
  <c r="KE24" i="70"/>
  <c r="KG24" i="70"/>
  <c r="KE28" i="70"/>
  <c r="KG37" i="70"/>
  <c r="EI39" i="70"/>
  <c r="IK39" i="70"/>
  <c r="ES40" i="70"/>
  <c r="FL42" i="70"/>
  <c r="FL40" i="70"/>
  <c r="FL44" i="70"/>
  <c r="FX40" i="70"/>
  <c r="FX42" i="70"/>
  <c r="FX44" i="70"/>
  <c r="FR39" i="70"/>
  <c r="KH29" i="70"/>
  <c r="KG29" i="70"/>
  <c r="HB44" i="70"/>
  <c r="HB45" i="70"/>
  <c r="DD45" i="70"/>
  <c r="DP45" i="70"/>
  <c r="FD45" i="70"/>
  <c r="FT40" i="70"/>
  <c r="IP39" i="70"/>
  <c r="FH40" i="70"/>
  <c r="KK33" i="70"/>
  <c r="KI33" i="70"/>
  <c r="KK20" i="70"/>
  <c r="IO43" i="70"/>
  <c r="IS38" i="70"/>
  <c r="KJ29" i="70"/>
  <c r="KJ21" i="70"/>
  <c r="KK21" i="70"/>
  <c r="KF21" i="70"/>
  <c r="JP43" i="70"/>
  <c r="KJ13" i="70"/>
  <c r="FH45" i="70"/>
  <c r="FT45" i="70"/>
  <c r="JI44" i="70"/>
  <c r="JI40" i="70"/>
  <c r="BU45" i="70"/>
  <c r="BI45" i="70"/>
  <c r="CK45" i="70"/>
  <c r="BY45" i="70"/>
  <c r="CS45" i="70"/>
  <c r="CG45" i="70"/>
  <c r="CW45" i="70"/>
  <c r="DI45" i="70"/>
  <c r="DU45" i="70"/>
  <c r="EG45" i="70"/>
  <c r="EO45" i="70"/>
  <c r="EC45" i="70"/>
  <c r="FD40" i="70"/>
  <c r="FD44" i="70"/>
  <c r="IR43" i="70"/>
  <c r="FQ42" i="70"/>
  <c r="FQ44" i="70"/>
  <c r="HF44" i="70"/>
  <c r="HF45" i="70"/>
  <c r="KE37" i="70"/>
  <c r="IF43" i="70"/>
  <c r="IN43" i="70"/>
  <c r="EF40" i="70"/>
  <c r="IG39" i="70"/>
  <c r="ER40" i="70"/>
  <c r="EK40" i="70"/>
  <c r="EW40" i="70"/>
  <c r="V45" i="70"/>
  <c r="AH45" i="70"/>
  <c r="AD45" i="70"/>
  <c r="AP45" i="70"/>
  <c r="BN45" i="70"/>
  <c r="BB45" i="70"/>
  <c r="BV45" i="70"/>
  <c r="BJ45" i="70"/>
  <c r="CH45" i="70"/>
  <c r="CT45" i="70"/>
  <c r="FJ44" i="70"/>
  <c r="FJ40" i="70"/>
  <c r="HR44" i="70"/>
  <c r="HR45" i="70"/>
  <c r="KI7" i="70"/>
  <c r="KG25" i="70"/>
  <c r="KE25" i="70"/>
  <c r="KG12" i="70"/>
  <c r="KE12" i="70"/>
  <c r="KE30" i="70"/>
  <c r="GA44" i="70"/>
  <c r="HY43" i="70"/>
  <c r="IG43" i="70"/>
  <c r="JJ39" i="70"/>
  <c r="IJ43" i="70"/>
  <c r="HV43" i="70"/>
  <c r="ID43" i="70"/>
  <c r="JM38" i="70"/>
  <c r="JM42" i="70" s="1"/>
  <c r="II38" i="70"/>
  <c r="JO38" i="70"/>
  <c r="JO39" i="70" s="1"/>
  <c r="FN42" i="70"/>
  <c r="IR39" i="70"/>
  <c r="GX44" i="70"/>
  <c r="GX45" i="70"/>
  <c r="KG13" i="70"/>
  <c r="KH13" i="70"/>
  <c r="KE35" i="70"/>
  <c r="EO40" i="70"/>
  <c r="FA40" i="70"/>
  <c r="IJ39" i="70"/>
  <c r="JK39" i="70"/>
  <c r="JW14" i="70" s="1"/>
  <c r="JK42" i="70"/>
  <c r="HZ43" i="70"/>
  <c r="HZ44" i="70" s="1"/>
  <c r="IH43" i="70"/>
  <c r="II39" i="70"/>
  <c r="EL40" i="70"/>
  <c r="EX40" i="70"/>
  <c r="EZ42" i="70"/>
  <c r="IM39" i="70"/>
  <c r="HZ40" i="70"/>
  <c r="ID40" i="70"/>
  <c r="JC40" i="70"/>
  <c r="JD40" i="70"/>
  <c r="KH27" i="70"/>
  <c r="KI27" i="70"/>
  <c r="FF40" i="70"/>
  <c r="FF44" i="70"/>
  <c r="KK17" i="70"/>
  <c r="KI17" i="70"/>
  <c r="FV44" i="70"/>
  <c r="FV40" i="70"/>
  <c r="FV42" i="70"/>
  <c r="IU39" i="70"/>
  <c r="KI37" i="70"/>
  <c r="FM42" i="70"/>
  <c r="KJ11" i="70"/>
  <c r="KJ22" i="70"/>
  <c r="FS40" i="70"/>
  <c r="FO45" i="70"/>
  <c r="FS45" i="70"/>
  <c r="KF26" i="70"/>
  <c r="FU40" i="70"/>
  <c r="KI12" i="70"/>
  <c r="KK12" i="70"/>
  <c r="KJ31" i="70"/>
  <c r="KK23" i="70"/>
  <c r="KF31" i="70"/>
  <c r="KK31" i="70"/>
  <c r="KK15" i="70"/>
  <c r="KJ15" i="70"/>
  <c r="KJ23" i="70"/>
  <c r="IV43" i="70"/>
  <c r="IV45" i="70" s="1"/>
  <c r="IV38" i="70"/>
  <c r="JS43" i="70"/>
  <c r="FZ40" i="70"/>
  <c r="FZ42" i="70"/>
  <c r="FZ44" i="70"/>
  <c r="FY44" i="70"/>
  <c r="FY40" i="70"/>
  <c r="IV39" i="70"/>
  <c r="FY42" i="70"/>
  <c r="O46" i="21" l="1"/>
  <c r="AK8" i="21"/>
  <c r="AK16" i="21" s="1"/>
  <c r="AK17" i="21" s="1"/>
  <c r="AI8" i="21"/>
  <c r="I31" i="97"/>
  <c r="E47" i="97"/>
  <c r="J104" i="28"/>
  <c r="J98" i="28"/>
  <c r="J96" i="28"/>
  <c r="Q33" i="77"/>
  <c r="R33" i="77" s="1"/>
  <c r="Q46" i="77"/>
  <c r="Q26" i="77"/>
  <c r="R26" i="77" s="1"/>
  <c r="Q64" i="77"/>
  <c r="R64" i="77" s="1"/>
  <c r="Q43" i="77"/>
  <c r="R43" i="77" s="1"/>
  <c r="Q71" i="77"/>
  <c r="R71" i="77" s="1"/>
  <c r="Q25" i="77"/>
  <c r="R25" i="77" s="1"/>
  <c r="Q42" i="77"/>
  <c r="R42" i="77" s="1"/>
  <c r="Q67" i="77"/>
  <c r="R67" i="77" s="1"/>
  <c r="Q62" i="77"/>
  <c r="R62" i="77" s="1"/>
  <c r="Q44" i="77"/>
  <c r="R44" i="77" s="1"/>
  <c r="Q22" i="77"/>
  <c r="R22" i="77" s="1"/>
  <c r="Q66" i="77"/>
  <c r="Q39" i="77"/>
  <c r="Q35" i="77"/>
  <c r="R35" i="77" s="1"/>
  <c r="Q53" i="77"/>
  <c r="R53" i="77" s="1"/>
  <c r="Q20" i="77"/>
  <c r="R20" i="77" s="1"/>
  <c r="Q18" i="77"/>
  <c r="R18" i="77" s="1"/>
  <c r="Q23" i="77"/>
  <c r="R23" i="77" s="1"/>
  <c r="Q40" i="77"/>
  <c r="R40" i="77" s="1"/>
  <c r="Q10" i="77"/>
  <c r="Q52" i="77"/>
  <c r="Q47" i="77"/>
  <c r="R47" i="77" s="1"/>
  <c r="Q34" i="77"/>
  <c r="R34" i="77" s="1"/>
  <c r="Q55" i="77"/>
  <c r="R55" i="77" s="1"/>
  <c r="Q49" i="77"/>
  <c r="R49" i="77" s="1"/>
  <c r="Q27" i="77"/>
  <c r="R27" i="77" s="1"/>
  <c r="Q19" i="77"/>
  <c r="R19" i="77" s="1"/>
  <c r="Q70" i="77"/>
  <c r="R70" i="77" s="1"/>
  <c r="Q68" i="77"/>
  <c r="R68" i="77" s="1"/>
  <c r="Q63" i="77"/>
  <c r="R63" i="77" s="1"/>
  <c r="Q32" i="77"/>
  <c r="Q21" i="77"/>
  <c r="R21" i="77" s="1"/>
  <c r="Q11" i="77"/>
  <c r="R11" i="77" s="1"/>
  <c r="Q28" i="77"/>
  <c r="R28" i="77" s="1"/>
  <c r="Q13" i="77"/>
  <c r="Q50" i="77"/>
  <c r="R50" i="77" s="1"/>
  <c r="Q24" i="77"/>
  <c r="R24" i="77" s="1"/>
  <c r="Q61" i="77"/>
  <c r="R61" i="77" s="1"/>
  <c r="Q8" i="77"/>
  <c r="Q15" i="77"/>
  <c r="R15" i="77" s="1"/>
  <c r="Q36" i="77"/>
  <c r="R36" i="77" s="1"/>
  <c r="Q48" i="77"/>
  <c r="R48" i="77" s="1"/>
  <c r="Q41" i="77"/>
  <c r="R41" i="77" s="1"/>
  <c r="Q60" i="77"/>
  <c r="R60" i="77" s="1"/>
  <c r="Q58" i="77"/>
  <c r="R58" i="77" s="1"/>
  <c r="Q12" i="77"/>
  <c r="R12" i="77" s="1"/>
  <c r="Q54" i="77"/>
  <c r="R54" i="77" s="1"/>
  <c r="Q59" i="77"/>
  <c r="R59" i="77" s="1"/>
  <c r="Q14" i="77"/>
  <c r="R14" i="77" s="1"/>
  <c r="Q17" i="77"/>
  <c r="R17" i="77" s="1"/>
  <c r="Q69" i="77"/>
  <c r="R69" i="77" s="1"/>
  <c r="K71" i="77"/>
  <c r="Q57" i="77"/>
  <c r="I32" i="97"/>
  <c r="H16" i="97"/>
  <c r="L16" i="97"/>
  <c r="E53" i="97"/>
  <c r="I6" i="97"/>
  <c r="I28" i="97"/>
  <c r="L31" i="28"/>
  <c r="H34" i="97"/>
  <c r="H35" i="97" s="1"/>
  <c r="I30" i="97"/>
  <c r="G32" i="75"/>
  <c r="L114" i="28"/>
  <c r="Q46" i="21"/>
  <c r="O48" i="21"/>
  <c r="IY38" i="70"/>
  <c r="AK7" i="21"/>
  <c r="AI7" i="21"/>
  <c r="K57" i="28"/>
  <c r="JT38" i="70"/>
  <c r="JT39" i="70" s="1"/>
  <c r="JT44" i="70" s="1"/>
  <c r="J57" i="28"/>
  <c r="L56" i="28"/>
  <c r="L57" i="28" s="1"/>
  <c r="P25" i="9"/>
  <c r="P17" i="9" s="1"/>
  <c r="N11" i="97"/>
  <c r="O12" i="97"/>
  <c r="M7" i="97"/>
  <c r="M8" i="97"/>
  <c r="M9" i="97"/>
  <c r="M10" i="97"/>
  <c r="I7" i="97"/>
  <c r="O50" i="97"/>
  <c r="N49" i="97"/>
  <c r="H50" i="97"/>
  <c r="H51" i="97" s="1"/>
  <c r="I47" i="97"/>
  <c r="H12" i="97"/>
  <c r="H13" i="97" s="1"/>
  <c r="I9" i="97"/>
  <c r="I8" i="97"/>
  <c r="I10" i="97"/>
  <c r="F18" i="97"/>
  <c r="F19" i="97" s="1"/>
  <c r="I48" i="97"/>
  <c r="E38" i="97"/>
  <c r="B18" i="97"/>
  <c r="B19" i="97" s="1"/>
  <c r="E10" i="97"/>
  <c r="E8" i="97"/>
  <c r="D12" i="97"/>
  <c r="D13" i="97" s="1"/>
  <c r="E6" i="97"/>
  <c r="E7" i="97"/>
  <c r="J114" i="28"/>
  <c r="J113" i="28"/>
  <c r="K114" i="28"/>
  <c r="K113" i="28"/>
  <c r="F32" i="75"/>
  <c r="F32" i="93"/>
  <c r="G32" i="93"/>
  <c r="E32" i="93"/>
  <c r="C32" i="93"/>
  <c r="D32" i="93"/>
  <c r="J100" i="28"/>
  <c r="T11" i="49"/>
  <c r="U11" i="49"/>
  <c r="K100" i="28"/>
  <c r="K102" i="28"/>
  <c r="K104" i="28"/>
  <c r="K98" i="28"/>
  <c r="I20" i="9"/>
  <c r="N17" i="9"/>
  <c r="N18" i="9" s="1"/>
  <c r="IX45" i="70"/>
  <c r="N48" i="21"/>
  <c r="Q52" i="21"/>
  <c r="S46" i="21"/>
  <c r="S53" i="21" s="1"/>
  <c r="T54" i="21" s="1"/>
  <c r="T46" i="21"/>
  <c r="T53" i="21" s="1"/>
  <c r="I19" i="9"/>
  <c r="M18" i="9"/>
  <c r="M19" i="9" s="1"/>
  <c r="S48" i="21"/>
  <c r="T44" i="21"/>
  <c r="T51" i="21" s="1"/>
  <c r="T52" i="21" s="1"/>
  <c r="J18" i="9"/>
  <c r="J19" i="9" s="1"/>
  <c r="N46" i="21"/>
  <c r="T48" i="21"/>
  <c r="I57" i="28"/>
  <c r="IW38" i="70"/>
  <c r="AF34" i="62"/>
  <c r="AF44" i="62" s="1"/>
  <c r="M5" i="62"/>
  <c r="AW11" i="62"/>
  <c r="BK18" i="62"/>
  <c r="AY11" i="62"/>
  <c r="AX11" i="62"/>
  <c r="N5" i="62"/>
  <c r="AG34" i="62"/>
  <c r="AG44" i="62" s="1"/>
  <c r="Q22" i="21"/>
  <c r="AL18" i="21"/>
  <c r="Q41" i="21"/>
  <c r="JQ38" i="70"/>
  <c r="KM38" i="70" s="1"/>
  <c r="F57" i="28"/>
  <c r="D19" i="9"/>
  <c r="I27" i="9"/>
  <c r="E67" i="28"/>
  <c r="H20" i="9"/>
  <c r="IX39" i="70"/>
  <c r="IX44" i="70" s="1"/>
  <c r="GB40" i="70"/>
  <c r="IG86" i="110"/>
  <c r="IG91" i="110" s="1"/>
  <c r="ID91" i="110"/>
  <c r="FP44" i="70"/>
  <c r="IW39" i="70"/>
  <c r="IW44" i="70" s="1"/>
  <c r="IZ45" i="70"/>
  <c r="IS39" i="70"/>
  <c r="IS44" i="70" s="1"/>
  <c r="GF44" i="70"/>
  <c r="GG44" i="70"/>
  <c r="GB44" i="70"/>
  <c r="FP42" i="70"/>
  <c r="JS39" i="70"/>
  <c r="JS44" i="70" s="1"/>
  <c r="Q44" i="21"/>
  <c r="K44" i="21"/>
  <c r="L29" i="21"/>
  <c r="R46" i="21"/>
  <c r="R53" i="21" s="1"/>
  <c r="S11" i="21"/>
  <c r="T11" i="21" s="1"/>
  <c r="Q48" i="21"/>
  <c r="R48" i="21"/>
  <c r="GH44" i="70"/>
  <c r="S5" i="21"/>
  <c r="T5" i="21" s="1"/>
  <c r="K46" i="21"/>
  <c r="FP91" i="110"/>
  <c r="S10" i="21"/>
  <c r="T10" i="21" s="1"/>
  <c r="IY39" i="70"/>
  <c r="IY44" i="70" s="1"/>
  <c r="S12" i="21"/>
  <c r="T12" i="21" s="1"/>
  <c r="Q29" i="21"/>
  <c r="AJ19" i="21"/>
  <c r="AL19" i="21" s="1"/>
  <c r="AJ17" i="21"/>
  <c r="Q23" i="21"/>
  <c r="S14" i="21"/>
  <c r="T14" i="21" s="1"/>
  <c r="IX38" i="70"/>
  <c r="K25" i="9"/>
  <c r="K17" i="9" s="1"/>
  <c r="L45" i="21"/>
  <c r="M46" i="21" s="1"/>
  <c r="AO5" i="21"/>
  <c r="AO11" i="21"/>
  <c r="AO9" i="21"/>
  <c r="AO7" i="21"/>
  <c r="M20" i="21"/>
  <c r="AO8" i="21"/>
  <c r="AO14" i="21"/>
  <c r="AO10" i="21"/>
  <c r="L49" i="21"/>
  <c r="L50" i="21" s="1"/>
  <c r="L47" i="21"/>
  <c r="M48" i="21" s="1"/>
  <c r="B19" i="75"/>
  <c r="L41" i="21"/>
  <c r="L42" i="21" s="1"/>
  <c r="AO15" i="21"/>
  <c r="M29" i="21"/>
  <c r="AO13" i="21"/>
  <c r="AO4" i="21"/>
  <c r="AO6" i="21"/>
  <c r="G56" i="28"/>
  <c r="H57" i="28" s="1"/>
  <c r="L43" i="21"/>
  <c r="L44" i="21" s="1"/>
  <c r="AO12" i="21"/>
  <c r="AL43" i="21"/>
  <c r="R44" i="21"/>
  <c r="R51" i="21" s="1"/>
  <c r="S52" i="21" s="1"/>
  <c r="S7" i="21"/>
  <c r="T7" i="21" s="1"/>
  <c r="FP87" i="110"/>
  <c r="R50" i="21"/>
  <c r="D104" i="109"/>
  <c r="J135" i="28" s="1"/>
  <c r="L103" i="109"/>
  <c r="K140" i="28"/>
  <c r="M103" i="109"/>
  <c r="B104" i="109"/>
  <c r="L104" i="109" s="1"/>
  <c r="D129" i="109"/>
  <c r="I135" i="28" s="1"/>
  <c r="H129" i="109"/>
  <c r="I137" i="28" s="1"/>
  <c r="L128" i="109"/>
  <c r="B129" i="109"/>
  <c r="I134" i="28" s="1"/>
  <c r="M128" i="109"/>
  <c r="J130" i="28"/>
  <c r="I130" i="28"/>
  <c r="Z58" i="59"/>
  <c r="E135" i="59"/>
  <c r="P135" i="59"/>
  <c r="E111" i="59"/>
  <c r="I35" i="59"/>
  <c r="L22" i="59"/>
  <c r="G22" i="59"/>
  <c r="I73" i="59"/>
  <c r="E22" i="59"/>
  <c r="J73" i="59"/>
  <c r="C22" i="59"/>
  <c r="O56" i="59"/>
  <c r="N22" i="59"/>
  <c r="F269" i="59"/>
  <c r="G269" i="59"/>
  <c r="L35" i="59"/>
  <c r="I22" i="59"/>
  <c r="H22" i="59"/>
  <c r="C35" i="59"/>
  <c r="H61" i="59"/>
  <c r="L73" i="59"/>
  <c r="Y59" i="59"/>
  <c r="P20" i="59"/>
  <c r="Y56" i="59"/>
  <c r="Y57" i="59" s="1"/>
  <c r="P9" i="59"/>
  <c r="N61" i="59"/>
  <c r="V53" i="59"/>
  <c r="V56" i="59" s="1"/>
  <c r="J35" i="59"/>
  <c r="M22" i="59"/>
  <c r="J111" i="59"/>
  <c r="D269" i="59"/>
  <c r="P109" i="59"/>
  <c r="P207" i="59"/>
  <c r="D73" i="59"/>
  <c r="F86" i="59"/>
  <c r="F73" i="59"/>
  <c r="F35" i="59"/>
  <c r="P34" i="59"/>
  <c r="P111" i="59"/>
  <c r="N73" i="59"/>
  <c r="N269" i="59"/>
  <c r="C123" i="59"/>
  <c r="C111" i="59"/>
  <c r="G35" i="59"/>
  <c r="G48" i="59"/>
  <c r="J135" i="59"/>
  <c r="J123" i="59"/>
  <c r="S55" i="59"/>
  <c r="P72" i="59"/>
  <c r="P195" i="59"/>
  <c r="P21" i="59"/>
  <c r="M48" i="59"/>
  <c r="M61" i="59"/>
  <c r="O207" i="59"/>
  <c r="L111" i="59"/>
  <c r="L123" i="59"/>
  <c r="C73" i="59"/>
  <c r="O30" i="59"/>
  <c r="O43" i="59"/>
  <c r="N35" i="59"/>
  <c r="G73" i="59"/>
  <c r="G86" i="59"/>
  <c r="P60" i="59"/>
  <c r="H35" i="59"/>
  <c r="P94" i="59"/>
  <c r="P99" i="59" s="1"/>
  <c r="U53" i="59"/>
  <c r="P97" i="59"/>
  <c r="P59" i="59"/>
  <c r="P56" i="59"/>
  <c r="P61" i="59" s="1"/>
  <c r="R53" i="59"/>
  <c r="R56" i="59" s="1"/>
  <c r="E35" i="59"/>
  <c r="P118" i="59"/>
  <c r="P123" i="59" s="1"/>
  <c r="W53" i="59"/>
  <c r="P121" i="59"/>
  <c r="O231" i="59"/>
  <c r="O242" i="59"/>
  <c r="P47" i="59"/>
  <c r="P43" i="59"/>
  <c r="P30" i="59"/>
  <c r="P46" i="59"/>
  <c r="P33" i="59"/>
  <c r="P86" i="59"/>
  <c r="E73" i="59"/>
  <c r="E86" i="59"/>
  <c r="P71" i="59"/>
  <c r="S53" i="59"/>
  <c r="P68" i="59"/>
  <c r="P73" i="59" s="1"/>
  <c r="Z56" i="59"/>
  <c r="Z59" i="59"/>
  <c r="O9" i="59"/>
  <c r="O17" i="59"/>
  <c r="D22" i="59"/>
  <c r="P17" i="59"/>
  <c r="D35" i="59"/>
  <c r="D48" i="59"/>
  <c r="H130" i="28"/>
  <c r="JL45" i="70"/>
  <c r="JN45" i="70"/>
  <c r="H269" i="59"/>
  <c r="E269" i="59"/>
  <c r="C269" i="59"/>
  <c r="L269" i="59"/>
  <c r="K269" i="59"/>
  <c r="J269" i="59"/>
  <c r="M269" i="59"/>
  <c r="JT45" i="70"/>
  <c r="Q53" i="21"/>
  <c r="Q54" i="21" s="1"/>
  <c r="IC91" i="110"/>
  <c r="IH91" i="110"/>
  <c r="IH87" i="110"/>
  <c r="P54" i="21"/>
  <c r="P50" i="21"/>
  <c r="Q50" i="21"/>
  <c r="AD38" i="21"/>
  <c r="AD49" i="21" s="1"/>
  <c r="N49" i="21"/>
  <c r="K53" i="21"/>
  <c r="K42" i="21"/>
  <c r="G27" i="9"/>
  <c r="G17" i="9"/>
  <c r="G18" i="9" s="1"/>
  <c r="II86" i="110"/>
  <c r="FW91" i="110"/>
  <c r="FW89" i="110"/>
  <c r="FW87" i="110"/>
  <c r="O18" i="9"/>
  <c r="K67" i="28" s="1"/>
  <c r="O54" i="21"/>
  <c r="IE91" i="110"/>
  <c r="IE87" i="110"/>
  <c r="IY86" i="110"/>
  <c r="JH85" i="110" s="1"/>
  <c r="IY89" i="110"/>
  <c r="JO85" i="110"/>
  <c r="JQ85" i="110"/>
  <c r="IB91" i="110"/>
  <c r="IB87" i="110"/>
  <c r="JC85" i="110"/>
  <c r="JL85" i="110" s="1"/>
  <c r="JO42" i="70"/>
  <c r="IF91" i="110"/>
  <c r="IF87" i="110"/>
  <c r="P46" i="21"/>
  <c r="P42" i="21"/>
  <c r="AJ16" i="21"/>
  <c r="AJ20" i="21" s="1"/>
  <c r="AL20" i="21" s="1"/>
  <c r="P48" i="21"/>
  <c r="P44" i="21"/>
  <c r="JP85" i="110"/>
  <c r="IZ86" i="110"/>
  <c r="R16" i="21"/>
  <c r="JP42" i="70"/>
  <c r="IJ91" i="110"/>
  <c r="IJ87" i="110"/>
  <c r="AZ16" i="21"/>
  <c r="Q20" i="21"/>
  <c r="BA16" i="21"/>
  <c r="R17" i="21"/>
  <c r="S13" i="21"/>
  <c r="T13" i="21" s="1"/>
  <c r="S9" i="21"/>
  <c r="T9" i="21" s="1"/>
  <c r="S6" i="21"/>
  <c r="T6" i="21" s="1"/>
  <c r="S4" i="21"/>
  <c r="S15" i="21"/>
  <c r="T15" i="21" s="1"/>
  <c r="S8" i="21"/>
  <c r="T8" i="21" s="1"/>
  <c r="FE44" i="70"/>
  <c r="GE40" i="70"/>
  <c r="GE44" i="70"/>
  <c r="IZ39" i="70"/>
  <c r="GL44" i="70"/>
  <c r="GL40" i="70"/>
  <c r="IR45" i="70"/>
  <c r="IP45" i="70"/>
  <c r="IT44" i="70"/>
  <c r="GD40" i="70"/>
  <c r="II45" i="70"/>
  <c r="FE42" i="70"/>
  <c r="JK45" i="70"/>
  <c r="HW45" i="70"/>
  <c r="FQ40" i="70"/>
  <c r="KH7" i="70"/>
  <c r="IE45" i="70"/>
  <c r="IO39" i="70"/>
  <c r="IS40" i="70" s="1"/>
  <c r="HS44" i="70"/>
  <c r="IG45" i="70"/>
  <c r="IA45" i="70"/>
  <c r="IT40" i="70"/>
  <c r="JW30" i="70"/>
  <c r="HW44" i="70"/>
  <c r="IB44" i="70"/>
  <c r="JN38" i="70"/>
  <c r="KJ7" i="70"/>
  <c r="IJ45" i="70"/>
  <c r="IQ45" i="70"/>
  <c r="IM45" i="70"/>
  <c r="IK45" i="70"/>
  <c r="KA14" i="70"/>
  <c r="KA29" i="70"/>
  <c r="KA21" i="70"/>
  <c r="KA30" i="70"/>
  <c r="KA31" i="70"/>
  <c r="KA24" i="70"/>
  <c r="KA36" i="70"/>
  <c r="KA16" i="70"/>
  <c r="KA22" i="70"/>
  <c r="KA10" i="70"/>
  <c r="KA11" i="70"/>
  <c r="KA23" i="70"/>
  <c r="KA8" i="70"/>
  <c r="JO44" i="70"/>
  <c r="KA32" i="70"/>
  <c r="KA27" i="70"/>
  <c r="KA19" i="70"/>
  <c r="KA7" i="70"/>
  <c r="KA18" i="70"/>
  <c r="KA35" i="70"/>
  <c r="KA20" i="70"/>
  <c r="KA15" i="70"/>
  <c r="KA28" i="70"/>
  <c r="KA9" i="70"/>
  <c r="KA25" i="70"/>
  <c r="KA12" i="70"/>
  <c r="KA26" i="70"/>
  <c r="KA37" i="70"/>
  <c r="KA33" i="70"/>
  <c r="KA17" i="70"/>
  <c r="KA13" i="70"/>
  <c r="IJ44" i="70"/>
  <c r="IJ40" i="70"/>
  <c r="KG38" i="70"/>
  <c r="IF44" i="70"/>
  <c r="IF45" i="70"/>
  <c r="FR40" i="70"/>
  <c r="FR42" i="70"/>
  <c r="FR44" i="70"/>
  <c r="II40" i="70"/>
  <c r="II44" i="70"/>
  <c r="HV45" i="70"/>
  <c r="HV44" i="70"/>
  <c r="JW38" i="70"/>
  <c r="IK44" i="70"/>
  <c r="IK40" i="70"/>
  <c r="IC44" i="70"/>
  <c r="IC45" i="70"/>
  <c r="JO45" i="70"/>
  <c r="JM39" i="70"/>
  <c r="IH45" i="70"/>
  <c r="JW24" i="70"/>
  <c r="EI40" i="70"/>
  <c r="IH39" i="70"/>
  <c r="IL40" i="70" s="1"/>
  <c r="EU40" i="70"/>
  <c r="IL45" i="70"/>
  <c r="IQ40" i="70"/>
  <c r="IQ44" i="70"/>
  <c r="HZ45" i="70"/>
  <c r="IR44" i="70"/>
  <c r="IR40" i="70"/>
  <c r="JJ40" i="70"/>
  <c r="JJ44" i="70"/>
  <c r="JW28" i="70"/>
  <c r="IG40" i="70"/>
  <c r="IG44" i="70"/>
  <c r="IS45" i="70"/>
  <c r="IO45" i="70"/>
  <c r="ID45" i="70"/>
  <c r="ID44" i="70"/>
  <c r="JX32" i="70"/>
  <c r="JX11" i="70"/>
  <c r="JX27" i="70"/>
  <c r="JX16" i="70"/>
  <c r="JX15" i="70"/>
  <c r="JX20" i="70"/>
  <c r="JX31" i="70"/>
  <c r="JX14" i="70"/>
  <c r="JX30" i="70"/>
  <c r="JX9" i="70"/>
  <c r="JL44" i="70"/>
  <c r="JX33" i="70"/>
  <c r="JX17" i="70"/>
  <c r="JX19" i="70"/>
  <c r="JX26" i="70"/>
  <c r="JX23" i="70"/>
  <c r="JX18" i="70"/>
  <c r="JX29" i="70"/>
  <c r="KE39" i="70"/>
  <c r="JX7" i="70"/>
  <c r="JX28" i="70"/>
  <c r="JX21" i="70"/>
  <c r="JX25" i="70"/>
  <c r="JX24" i="70"/>
  <c r="JX10" i="70"/>
  <c r="JX22" i="70"/>
  <c r="JL40" i="70"/>
  <c r="JX36" i="70"/>
  <c r="JX8" i="70"/>
  <c r="JX6" i="70"/>
  <c r="JX13" i="70"/>
  <c r="IU44" i="70"/>
  <c r="IU40" i="70"/>
  <c r="JX35" i="70"/>
  <c r="JQ45" i="70"/>
  <c r="JP45" i="70"/>
  <c r="IP40" i="70"/>
  <c r="IP44" i="70"/>
  <c r="JX37" i="70"/>
  <c r="IL44" i="70"/>
  <c r="IM44" i="70"/>
  <c r="IM40" i="70"/>
  <c r="JW32" i="70"/>
  <c r="JW7" i="70"/>
  <c r="JW36" i="70"/>
  <c r="JW17" i="70"/>
  <c r="JK44" i="70"/>
  <c r="JW9" i="70"/>
  <c r="JW27" i="70"/>
  <c r="JW20" i="70"/>
  <c r="JW19" i="70"/>
  <c r="JW25" i="70"/>
  <c r="JW22" i="70"/>
  <c r="JK40" i="70"/>
  <c r="JW23" i="70"/>
  <c r="JW29" i="70"/>
  <c r="JW8" i="70"/>
  <c r="JW16" i="70"/>
  <c r="JW13" i="70"/>
  <c r="JW11" i="70"/>
  <c r="JW33" i="70"/>
  <c r="JW35" i="70"/>
  <c r="JW10" i="70"/>
  <c r="JW12" i="70"/>
  <c r="JW6" i="70"/>
  <c r="JW31" i="70"/>
  <c r="JW26" i="70"/>
  <c r="JW21" i="70"/>
  <c r="JW18" i="70"/>
  <c r="KA38" i="70"/>
  <c r="HY44" i="70"/>
  <c r="HY45" i="70"/>
  <c r="JW15" i="70"/>
  <c r="JW37" i="70"/>
  <c r="IN45" i="70"/>
  <c r="JX38" i="70"/>
  <c r="IN40" i="70"/>
  <c r="IN44" i="70"/>
  <c r="JP39" i="70"/>
  <c r="KK38" i="70"/>
  <c r="IV44" i="70"/>
  <c r="IV40" i="70"/>
  <c r="V13" i="77" l="1"/>
  <c r="W13" i="77" s="1"/>
  <c r="X13" i="77" s="1"/>
  <c r="R57" i="77"/>
  <c r="V12" i="77"/>
  <c r="W12" i="77" s="1"/>
  <c r="X12" i="77" s="1"/>
  <c r="R52" i="77"/>
  <c r="V10" i="77"/>
  <c r="W10" i="77" s="1"/>
  <c r="X10" i="77" s="1"/>
  <c r="R39" i="77"/>
  <c r="R32" i="77"/>
  <c r="V9" i="77"/>
  <c r="W9" i="77" s="1"/>
  <c r="X9" i="77" s="1"/>
  <c r="V8" i="77"/>
  <c r="W8" i="77" s="1"/>
  <c r="X8" i="77" s="1"/>
  <c r="R10" i="77"/>
  <c r="V14" i="77"/>
  <c r="W14" i="77" s="1"/>
  <c r="X14" i="77" s="1"/>
  <c r="R66" i="77"/>
  <c r="K39" i="21"/>
  <c r="R13" i="77"/>
  <c r="V11" i="77"/>
  <c r="W11" i="77" s="1"/>
  <c r="X11" i="77" s="1"/>
  <c r="R46" i="77"/>
  <c r="I38" i="97"/>
  <c r="L46" i="21"/>
  <c r="F67" i="28"/>
  <c r="P18" i="9"/>
  <c r="P27" i="9"/>
  <c r="I53" i="97"/>
  <c r="N27" i="9"/>
  <c r="IX40" i="70"/>
  <c r="S54" i="21"/>
  <c r="I67" i="28"/>
  <c r="KL38" i="70"/>
  <c r="BM18" i="62"/>
  <c r="BM4" i="62" s="1"/>
  <c r="BK4" i="62"/>
  <c r="BU25" i="62"/>
  <c r="BV25" i="62" s="1"/>
  <c r="BU24" i="62"/>
  <c r="BU22" i="62"/>
  <c r="C23" i="75"/>
  <c r="H72" i="28"/>
  <c r="C19" i="75"/>
  <c r="M9" i="62"/>
  <c r="G73" i="28"/>
  <c r="O9" i="62"/>
  <c r="G57" i="28"/>
  <c r="JQ39" i="70"/>
  <c r="KC17" i="70" s="1"/>
  <c r="IW40" i="70"/>
  <c r="IG87" i="110"/>
  <c r="IY40" i="70"/>
  <c r="R52" i="21"/>
  <c r="S16" i="21"/>
  <c r="S29" i="21" s="1"/>
  <c r="R29" i="21"/>
  <c r="R28" i="21"/>
  <c r="R30" i="21"/>
  <c r="M50" i="21"/>
  <c r="L48" i="21"/>
  <c r="M42" i="21"/>
  <c r="L53" i="21"/>
  <c r="IZ40" i="70"/>
  <c r="IZ44" i="70"/>
  <c r="M44" i="21"/>
  <c r="K18" i="9"/>
  <c r="K27" i="9"/>
  <c r="J134" i="28"/>
  <c r="J140" i="28" s="1"/>
  <c r="I140" i="28"/>
  <c r="L129" i="109"/>
  <c r="K141" i="28"/>
  <c r="R54" i="21"/>
  <c r="AL53" i="21"/>
  <c r="Q42" i="21"/>
  <c r="AL41" i="21"/>
  <c r="Z57" i="59"/>
  <c r="P22" i="59"/>
  <c r="V59" i="59"/>
  <c r="T58" i="59"/>
  <c r="S58" i="59"/>
  <c r="P48" i="59"/>
  <c r="P35" i="59"/>
  <c r="U56" i="59"/>
  <c r="U57" i="59" s="1"/>
  <c r="U59" i="59"/>
  <c r="S59" i="59"/>
  <c r="S56" i="59"/>
  <c r="T59" i="59"/>
  <c r="W59" i="59"/>
  <c r="X59" i="59"/>
  <c r="W56" i="59"/>
  <c r="KJ38" i="70"/>
  <c r="JN42" i="70"/>
  <c r="JV38" i="70"/>
  <c r="KF38" i="70" s="1"/>
  <c r="JQ42" i="70"/>
  <c r="R41" i="21"/>
  <c r="O50" i="21"/>
  <c r="N50" i="21"/>
  <c r="O19" i="9"/>
  <c r="II91" i="110"/>
  <c r="II87" i="110"/>
  <c r="G19" i="9"/>
  <c r="H19" i="9"/>
  <c r="C67" i="28"/>
  <c r="J67" i="28"/>
  <c r="N19" i="9"/>
  <c r="JH78" i="110"/>
  <c r="JH58" i="110"/>
  <c r="JH82" i="110"/>
  <c r="JH66" i="110"/>
  <c r="JH56" i="110"/>
  <c r="JH64" i="110"/>
  <c r="JH69" i="110"/>
  <c r="JH72" i="110"/>
  <c r="JH57" i="110"/>
  <c r="JH68" i="110"/>
  <c r="JH62" i="110"/>
  <c r="JH60" i="110"/>
  <c r="JH76" i="110"/>
  <c r="JH80" i="110"/>
  <c r="JH55" i="110"/>
  <c r="JH59" i="110"/>
  <c r="JH75" i="110"/>
  <c r="JH81" i="110"/>
  <c r="JH71" i="110"/>
  <c r="JH54" i="110"/>
  <c r="IY91" i="110"/>
  <c r="JO86" i="110"/>
  <c r="JH63" i="110"/>
  <c r="JH83" i="110"/>
  <c r="JH79" i="110"/>
  <c r="JH77" i="110"/>
  <c r="JH73" i="110"/>
  <c r="JH61" i="110"/>
  <c r="IY87" i="110"/>
  <c r="JH67" i="110"/>
  <c r="JH74" i="110"/>
  <c r="JH70" i="110"/>
  <c r="JH65" i="110"/>
  <c r="JI66" i="110"/>
  <c r="JI84" i="110"/>
  <c r="JI77" i="110"/>
  <c r="JI76" i="110"/>
  <c r="JP86" i="110"/>
  <c r="JI68" i="110"/>
  <c r="JI79" i="110"/>
  <c r="JI61" i="110"/>
  <c r="JI57" i="110"/>
  <c r="JI70" i="110"/>
  <c r="JI54" i="110"/>
  <c r="JI78" i="110"/>
  <c r="JI81" i="110"/>
  <c r="JI67" i="110"/>
  <c r="JI83" i="110"/>
  <c r="JI56" i="110"/>
  <c r="JI64" i="110"/>
  <c r="JI71" i="110"/>
  <c r="JI60" i="110"/>
  <c r="JQ86" i="110"/>
  <c r="IZ91" i="110"/>
  <c r="JI62" i="110"/>
  <c r="JC86" i="110"/>
  <c r="JL86" i="110" s="1"/>
  <c r="JI73" i="110"/>
  <c r="JI65" i="110"/>
  <c r="JI58" i="110"/>
  <c r="JI75" i="110"/>
  <c r="JI69" i="110"/>
  <c r="JI63" i="110"/>
  <c r="JI85" i="110"/>
  <c r="JI80" i="110"/>
  <c r="IZ87" i="110"/>
  <c r="JI55" i="110"/>
  <c r="JI82" i="110"/>
  <c r="JI74" i="110"/>
  <c r="JI59" i="110"/>
  <c r="JI72" i="110"/>
  <c r="C58" i="28"/>
  <c r="T4" i="21"/>
  <c r="T17" i="21" s="1"/>
  <c r="S17" i="21"/>
  <c r="KI38" i="70"/>
  <c r="IO44" i="70"/>
  <c r="IO40" i="70"/>
  <c r="JN39" i="70"/>
  <c r="KH38" i="70"/>
  <c r="JM44" i="70"/>
  <c r="JY7" i="70"/>
  <c r="KG39" i="70"/>
  <c r="JM40" i="70"/>
  <c r="IH40" i="70"/>
  <c r="IH44" i="70"/>
  <c r="KB36" i="70"/>
  <c r="JP40" i="70"/>
  <c r="KB20" i="70"/>
  <c r="KB23" i="70"/>
  <c r="KK39" i="70"/>
  <c r="JP44" i="70"/>
  <c r="KB16" i="70"/>
  <c r="KB10" i="70"/>
  <c r="KB8" i="70"/>
  <c r="KB27" i="70"/>
  <c r="KB30" i="70"/>
  <c r="KB7" i="70"/>
  <c r="KB12" i="70"/>
  <c r="KB31" i="70"/>
  <c r="KB17" i="70"/>
  <c r="KB37" i="70"/>
  <c r="KB34" i="70"/>
  <c r="KB24" i="70"/>
  <c r="KB38" i="70"/>
  <c r="KB29" i="70"/>
  <c r="KB26" i="70"/>
  <c r="KB32" i="70"/>
  <c r="KB9" i="70"/>
  <c r="KB33" i="70"/>
  <c r="KB13" i="70"/>
  <c r="KB14" i="70"/>
  <c r="KB22" i="70"/>
  <c r="KB35" i="70"/>
  <c r="KB19" i="70"/>
  <c r="KB18" i="70"/>
  <c r="KB15" i="70"/>
  <c r="KB21" i="70"/>
  <c r="KB11" i="70"/>
  <c r="KB25" i="70"/>
  <c r="KB28" i="70"/>
  <c r="L39" i="21" l="1"/>
  <c r="K51" i="21"/>
  <c r="P19" i="9"/>
  <c r="L67" i="28"/>
  <c r="J141" i="28"/>
  <c r="KC11" i="70"/>
  <c r="JQ44" i="70"/>
  <c r="KC38" i="70"/>
  <c r="KC8" i="70"/>
  <c r="KC25" i="70"/>
  <c r="KC31" i="70"/>
  <c r="KC30" i="70"/>
  <c r="KC33" i="70"/>
  <c r="KC9" i="70"/>
  <c r="KC29" i="70"/>
  <c r="KC34" i="70"/>
  <c r="KC21" i="70"/>
  <c r="KC32" i="70"/>
  <c r="KC12" i="70"/>
  <c r="KC18" i="70"/>
  <c r="KC23" i="70"/>
  <c r="KC36" i="70"/>
  <c r="T16" i="21"/>
  <c r="T29" i="21" s="1"/>
  <c r="KC10" i="70"/>
  <c r="KC15" i="70"/>
  <c r="KC20" i="70"/>
  <c r="JQ40" i="70"/>
  <c r="KC24" i="70"/>
  <c r="KC22" i="70"/>
  <c r="KC35" i="70"/>
  <c r="JV39" i="70"/>
  <c r="KF39" i="70" s="1"/>
  <c r="KC16" i="70"/>
  <c r="KC14" i="70"/>
  <c r="KC27" i="70"/>
  <c r="BP22" i="62"/>
  <c r="BQ22" i="62" s="1"/>
  <c r="BP25" i="62"/>
  <c r="BQ25" i="62" s="1"/>
  <c r="KC13" i="70"/>
  <c r="KC19" i="70"/>
  <c r="KM39" i="70"/>
  <c r="KC28" i="70"/>
  <c r="KC26" i="70"/>
  <c r="KC7" i="70"/>
  <c r="KC37" i="70"/>
  <c r="KL39" i="70"/>
  <c r="JZ34" i="70"/>
  <c r="S41" i="21"/>
  <c r="S28" i="21"/>
  <c r="S30" i="21"/>
  <c r="T28" i="21"/>
  <c r="T30" i="21"/>
  <c r="G67" i="28"/>
  <c r="L19" i="9"/>
  <c r="K19" i="9"/>
  <c r="M54" i="21"/>
  <c r="L54" i="21"/>
  <c r="S57" i="59"/>
  <c r="T57" i="59"/>
  <c r="W57" i="59"/>
  <c r="X57" i="59"/>
  <c r="V57" i="59"/>
  <c r="JY29" i="70"/>
  <c r="JY31" i="70"/>
  <c r="JZ32" i="70"/>
  <c r="JY36" i="70"/>
  <c r="JY25" i="70"/>
  <c r="JZ25" i="70"/>
  <c r="JZ18" i="70"/>
  <c r="JZ15" i="70"/>
  <c r="JZ36" i="70"/>
  <c r="JY33" i="70"/>
  <c r="JZ30" i="70"/>
  <c r="JZ22" i="70"/>
  <c r="KI39" i="70"/>
  <c r="JZ10" i="70"/>
  <c r="JZ20" i="70"/>
  <c r="JY16" i="70"/>
  <c r="JY8" i="70"/>
  <c r="JZ27" i="70"/>
  <c r="JZ9" i="70"/>
  <c r="JY22" i="70"/>
  <c r="JY20" i="70"/>
  <c r="JZ16" i="70"/>
  <c r="JY23" i="70"/>
  <c r="JY35" i="70"/>
  <c r="JZ19" i="70"/>
  <c r="JY19" i="70"/>
  <c r="JZ12" i="70"/>
  <c r="JZ26" i="70"/>
  <c r="JZ14" i="70"/>
  <c r="JO40" i="70"/>
  <c r="JY24" i="70"/>
  <c r="JZ23" i="70"/>
  <c r="JN44" i="70"/>
  <c r="JZ37" i="70"/>
  <c r="JY18" i="70"/>
  <c r="JY27" i="70"/>
  <c r="JY6" i="70"/>
  <c r="JZ17" i="70"/>
  <c r="JY30" i="70"/>
  <c r="JZ13" i="70"/>
  <c r="JY28" i="70"/>
  <c r="JY26" i="70"/>
  <c r="JZ6" i="70"/>
  <c r="JZ29" i="70"/>
  <c r="JZ28" i="70"/>
  <c r="JZ24" i="70"/>
  <c r="JY10" i="70"/>
  <c r="JY11" i="70"/>
  <c r="JY32" i="70"/>
  <c r="JY15" i="70"/>
  <c r="JZ21" i="70"/>
  <c r="JZ35" i="70"/>
  <c r="JY13" i="70"/>
  <c r="JZ31" i="70"/>
  <c r="JY37" i="70"/>
  <c r="JY38" i="70"/>
  <c r="JY14" i="70"/>
  <c r="JZ11" i="70"/>
  <c r="JZ8" i="70"/>
  <c r="JY17" i="70"/>
  <c r="JY21" i="70"/>
  <c r="JY9" i="70"/>
  <c r="JY12" i="70"/>
  <c r="JZ38" i="70"/>
  <c r="JZ7" i="70"/>
  <c r="JZ33" i="70"/>
  <c r="KJ39" i="70"/>
  <c r="JN40" i="70"/>
  <c r="KH39" i="70"/>
  <c r="M39" i="21" l="1"/>
  <c r="L51" i="21"/>
  <c r="L52" i="21" s="1"/>
  <c r="T41" i="21"/>
  <c r="BK22" i="62"/>
  <c r="BK24" i="62"/>
  <c r="BK25" i="62"/>
  <c r="BK30" i="62"/>
  <c r="BK21" i="62"/>
  <c r="BK29" i="62"/>
  <c r="BK23" i="62"/>
  <c r="BK28" i="62"/>
  <c r="BK26" i="62"/>
  <c r="BK27" i="62"/>
  <c r="N39" i="21" l="1"/>
  <c r="M51" i="21"/>
  <c r="M52" i="21" s="1"/>
  <c r="N51" i="21" l="1"/>
  <c r="AD39" i="21"/>
  <c r="AD51" i="21" s="1"/>
  <c r="N52" i="21" l="1"/>
  <c r="O51" i="21"/>
  <c r="O52" i="21" l="1"/>
  <c r="P5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tc={75C3A838-7564-434D-9364-ADCA23801E18}</author>
    <author>tc={0AACFA5F-D76D-4DBC-9A95-192A363E6723}</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https://datosmacro.expansion.com/paises/ecuador  20oct2021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2019 - https://contenido.bce.fin.ec/documentos/Estadisticas/SectorReal/CuentasCantonales/Indice.htm
</t>
        </r>
      </text>
    </comment>
    <comment ref="L25" authorId="0" shapeId="0" xr:uid="{00000000-0006-0000-0100-000004000000}">
      <text>
        <r>
          <rPr>
            <b/>
            <sz val="9"/>
            <color indexed="81"/>
            <rFont val="Tahoma"/>
            <family val="2"/>
          </rPr>
          <t>Rubén Banda:</t>
        </r>
        <r>
          <rPr>
            <sz val="9"/>
            <color indexed="81"/>
            <rFont val="Tahoma"/>
            <family val="2"/>
          </rPr>
          <t xml:space="preserve">
2019 - https://contenido.bce.fin.ec/documentos/Estadisticas/SectorReal/CuentasCantonales/Indice.htm</t>
        </r>
      </text>
    </comment>
    <comment ref="H26" authorId="0" shapeId="0" xr:uid="{C066801F-AA3A-41B8-BE58-CC6AA771CA4A}">
      <text>
        <r>
          <rPr>
            <b/>
            <sz val="9"/>
            <color indexed="81"/>
            <rFont val="Tahoma"/>
            <family val="2"/>
          </rPr>
          <t>Rubén Banda:</t>
        </r>
        <r>
          <rPr>
            <sz val="9"/>
            <color indexed="81"/>
            <rFont val="Tahoma"/>
            <family val="2"/>
          </rPr>
          <t xml:space="preserve">
2020 - https://servicios.turismo.gob.ec/visualizador-economico    oct2021
</t>
        </r>
      </text>
    </comment>
    <comment ref="H27" authorId="0" shapeId="0" xr:uid="{00000000-0006-0000-0100-000005000000}">
      <text>
        <r>
          <rPr>
            <b/>
            <sz val="9"/>
            <color indexed="81"/>
            <rFont val="Tahoma"/>
            <family val="2"/>
          </rPr>
          <t>Rubén Banda:</t>
        </r>
        <r>
          <rPr>
            <sz val="9"/>
            <color indexed="81"/>
            <rFont val="Tahoma"/>
            <family val="2"/>
          </rPr>
          <t xml:space="preserve">
2020 - https://servicios.turismo.gob.ec/visualizador-economico     oct2021
</t>
        </r>
      </text>
    </comment>
    <comment ref="L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https://servicios.turismo.gob.ec/visualizador-economico   (oct2021)
</t>
        </r>
      </text>
    </comment>
    <comment ref="H37" authorId="1" shapeId="0" xr:uid="{75C3A838-7564-434D-9364-ADCA23801E18}">
      <text>
        <t>[Comentario encadenado]
Su versión de Excel le permite leer este comentario encadenado; sin embargo, las ediciones que se apliquen se quitarán si el archivo se abre en una versión más reciente de Excel. Más información: https://go.microsoft.com/fwlink/?linkid=870924
Comentario:
    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L38" authorId="0" shapeId="0" xr:uid="{00000000-0006-0000-0100-000009000000}">
      <text>
        <r>
          <rPr>
            <b/>
            <sz val="9"/>
            <color indexed="81"/>
            <rFont val="Tahoma"/>
            <family val="2"/>
          </rPr>
          <t>Rubén Banda:</t>
        </r>
        <r>
          <rPr>
            <sz val="9"/>
            <color indexed="81"/>
            <rFont val="Tahoma"/>
            <family val="2"/>
          </rPr>
          <t xml:space="preserve">
35% del territorio del DMQ</t>
        </r>
      </text>
    </comment>
    <comment ref="J48" authorId="2" shapeId="0" xr:uid="{0AACFA5F-D76D-4DBC-9A95-192A363E6723}">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https://servicios.turismo.gob.ec/entradas-y-salidas-internacionales    oct2021</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25B17FFC-3A3F-46BE-BA93-49F67F100C4C}">
      <text>
        <r>
          <rPr>
            <b/>
            <sz val="9"/>
            <color indexed="81"/>
            <rFont val="Tahoma"/>
            <family val="2"/>
          </rPr>
          <t>Rubén Banda:</t>
        </r>
        <r>
          <rPr>
            <sz val="9"/>
            <color indexed="81"/>
            <rFont val="Tahoma"/>
            <family val="2"/>
          </rPr>
          <t xml:space="preserve">
26-27-28 MAY 2017 puente
</t>
        </r>
      </text>
    </comment>
    <comment ref="H3" authorId="0" shapeId="0" xr:uid="{D5423F33-AA32-4F48-9C66-98460571706F}">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F98FB2A5-6DF0-40F8-9A83-BF07C5CF819B}">
      <text>
        <r>
          <rPr>
            <b/>
            <sz val="9"/>
            <color indexed="81"/>
            <rFont val="Tahoma"/>
            <family val="2"/>
          </rPr>
          <t>Rubén Banda:</t>
        </r>
        <r>
          <rPr>
            <sz val="9"/>
            <color indexed="81"/>
            <rFont val="Tahoma"/>
            <family val="2"/>
          </rPr>
          <t xml:space="preserve">
10-13 ago 2017</t>
        </r>
      </text>
    </comment>
    <comment ref="G3" authorId="0" shapeId="0" xr:uid="{7A0ADB34-8F18-40C3-9B73-2A2FCA6C41A0}">
      <text>
        <r>
          <rPr>
            <b/>
            <sz val="9"/>
            <color indexed="81"/>
            <rFont val="Tahoma"/>
            <family val="2"/>
          </rPr>
          <t>Rubén Banda:</t>
        </r>
        <r>
          <rPr>
            <sz val="9"/>
            <color indexed="81"/>
            <rFont val="Tahoma"/>
            <family val="2"/>
          </rPr>
          <t xml:space="preserve">
9-12 AGO 2018</t>
        </r>
      </text>
    </comment>
    <comment ref="T3" authorId="0" shapeId="0" xr:uid="{379ED3CA-1AA8-4851-A5B8-0668A900A64A}">
      <text>
        <r>
          <rPr>
            <b/>
            <sz val="9"/>
            <color indexed="81"/>
            <rFont val="Tahoma"/>
            <family val="2"/>
          </rPr>
          <t>Rubén Banda:</t>
        </r>
        <r>
          <rPr>
            <sz val="9"/>
            <color indexed="81"/>
            <rFont val="Tahoma"/>
            <family val="2"/>
          </rPr>
          <t xml:space="preserve">
7-10 AGO 2015</t>
        </r>
      </text>
    </comment>
    <comment ref="U3" authorId="0" shapeId="0" xr:uid="{DB0B8656-2F86-4DC9-8B4B-4CD10A7E6996}">
      <text>
        <r>
          <rPr>
            <b/>
            <sz val="9"/>
            <color indexed="81"/>
            <rFont val="Tahoma"/>
            <family val="2"/>
          </rPr>
          <t>Rubén Banda:</t>
        </r>
        <r>
          <rPr>
            <sz val="9"/>
            <color indexed="81"/>
            <rFont val="Tahoma"/>
            <family val="2"/>
          </rPr>
          <t xml:space="preserve">
11-14 ago 2016</t>
        </r>
      </text>
    </comment>
    <comment ref="V3" authorId="0" shapeId="0" xr:uid="{252CB670-F3B5-4D9D-AA19-E48D1684BB0E}">
      <text>
        <r>
          <rPr>
            <b/>
            <sz val="9"/>
            <color indexed="81"/>
            <rFont val="Tahoma"/>
            <family val="2"/>
          </rPr>
          <t>Rubén Banda:</t>
        </r>
        <r>
          <rPr>
            <sz val="9"/>
            <color indexed="81"/>
            <rFont val="Tahoma"/>
            <family val="2"/>
          </rPr>
          <t xml:space="preserve">
10-13 ago 2017</t>
        </r>
      </text>
    </comment>
    <comment ref="W3" authorId="0" shapeId="0" xr:uid="{3340D770-3801-4949-BA51-3C05277D717C}">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T3" authorId="0" shapeId="0" xr:uid="{353527C8-09C3-43EB-991F-BA9809E05D1D}">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14" authorId="0" shapeId="0" xr:uid="{4D3E5278-A292-4F0D-822E-7613EEC88786}">
      <text>
        <r>
          <rPr>
            <b/>
            <sz val="9"/>
            <color indexed="81"/>
            <rFont val="Tahoma"/>
            <family val="2"/>
          </rPr>
          <t>Rubén Banda:</t>
        </r>
        <r>
          <rPr>
            <sz val="9"/>
            <color indexed="81"/>
            <rFont val="Tahoma"/>
            <family val="2"/>
          </rPr>
          <t xml:space="preserve">
Terremoto</t>
        </r>
      </text>
    </comment>
    <comment ref="AC33" authorId="0" shapeId="0" xr:uid="{00000000-0006-0000-1400-000001000000}">
      <text>
        <r>
          <rPr>
            <b/>
            <sz val="9"/>
            <color indexed="81"/>
            <rFont val="Tahoma"/>
            <family val="2"/>
          </rPr>
          <t>Rubén Banda:</t>
        </r>
        <r>
          <rPr>
            <sz val="9"/>
            <color indexed="81"/>
            <rFont val="Tahoma"/>
            <family val="2"/>
          </rPr>
          <t xml:space="preserve">
estimado </t>
        </r>
      </text>
    </comment>
    <comment ref="AC34" authorId="0" shapeId="0" xr:uid="{00000000-0006-0000-1400-000002000000}">
      <text>
        <r>
          <rPr>
            <b/>
            <sz val="9"/>
            <color indexed="81"/>
            <rFont val="Tahoma"/>
            <family val="2"/>
          </rPr>
          <t>Rubén Banda:</t>
        </r>
        <r>
          <rPr>
            <sz val="9"/>
            <color indexed="81"/>
            <rFont val="Tahoma"/>
            <family val="2"/>
          </rPr>
          <t xml:space="preserve">
estimado </t>
        </r>
      </text>
    </comment>
    <comment ref="AC36" authorId="0" shapeId="0" xr:uid="{00000000-0006-0000-1400-000003000000}">
      <text>
        <r>
          <rPr>
            <b/>
            <sz val="9"/>
            <color indexed="81"/>
            <rFont val="Tahoma"/>
            <family val="2"/>
          </rPr>
          <t>Rubén Banda:</t>
        </r>
        <r>
          <rPr>
            <sz val="9"/>
            <color indexed="81"/>
            <rFont val="Tahoma"/>
            <family val="2"/>
          </rPr>
          <t xml:space="preserve">
estimado </t>
        </r>
      </text>
    </comment>
    <comment ref="AC49" authorId="0" shapeId="0" xr:uid="{00000000-0006-0000-1400-000004000000}">
      <text>
        <r>
          <rPr>
            <b/>
            <sz val="9"/>
            <color indexed="81"/>
            <rFont val="Tahoma"/>
            <family val="2"/>
          </rPr>
          <t>Rubén Banda:</t>
        </r>
        <r>
          <rPr>
            <sz val="9"/>
            <color indexed="81"/>
            <rFont val="Tahoma"/>
            <family val="2"/>
          </rPr>
          <t xml:space="preserve">
estimado </t>
        </r>
      </text>
    </comment>
    <comment ref="AC50" authorId="0" shapeId="0" xr:uid="{00000000-0006-0000-1400-000005000000}">
      <text>
        <r>
          <rPr>
            <b/>
            <sz val="9"/>
            <color indexed="81"/>
            <rFont val="Tahoma"/>
            <family val="2"/>
          </rPr>
          <t>Rubén Banda:</t>
        </r>
        <r>
          <rPr>
            <sz val="9"/>
            <color indexed="81"/>
            <rFont val="Tahoma"/>
            <family val="2"/>
          </rPr>
          <t xml:space="preserve">
estimado </t>
        </r>
      </text>
    </comment>
    <comment ref="AC52" authorId="0" shapeId="0" xr:uid="{00000000-0006-0000-1400-000006000000}">
      <text>
        <r>
          <rPr>
            <b/>
            <sz val="9"/>
            <color indexed="81"/>
            <rFont val="Tahoma"/>
            <family val="2"/>
          </rPr>
          <t>Rubén Banda:</t>
        </r>
        <r>
          <rPr>
            <sz val="9"/>
            <color indexed="81"/>
            <rFont val="Tahoma"/>
            <family val="2"/>
          </rPr>
          <t xml:space="preserve">
estimado </t>
        </r>
      </text>
    </comment>
    <comment ref="Z78" authorId="0" shapeId="0" xr:uid="{00000000-0006-0000-1400-000007000000}">
      <text>
        <r>
          <rPr>
            <b/>
            <sz val="9"/>
            <color indexed="81"/>
            <rFont val="Tahoma"/>
            <family val="2"/>
          </rPr>
          <t>Rubén Banda:</t>
        </r>
        <r>
          <rPr>
            <sz val="9"/>
            <color indexed="81"/>
            <rFont val="Tahoma"/>
            <family val="2"/>
          </rPr>
          <t xml:space="preserve">
Terremoto</t>
        </r>
      </text>
    </comment>
    <comment ref="AF78" authorId="0" shapeId="0" xr:uid="{00000000-0006-0000-1400-000008000000}">
      <text>
        <r>
          <rPr>
            <b/>
            <sz val="9"/>
            <color indexed="81"/>
            <rFont val="Tahoma"/>
            <family val="2"/>
          </rPr>
          <t>Rubén Banda:</t>
        </r>
        <r>
          <rPr>
            <sz val="9"/>
            <color indexed="81"/>
            <rFont val="Tahoma"/>
            <family val="2"/>
          </rPr>
          <t xml:space="preserve">
Habitat III</t>
        </r>
      </text>
    </comment>
    <comment ref="AD85" authorId="0" shapeId="0" xr:uid="{00000000-0006-0000-1400-000009000000}">
      <text>
        <r>
          <rPr>
            <b/>
            <sz val="9"/>
            <color indexed="81"/>
            <rFont val="Tahoma"/>
            <family val="2"/>
          </rPr>
          <t>Rubén Banda:</t>
        </r>
        <r>
          <rPr>
            <sz val="9"/>
            <color indexed="81"/>
            <rFont val="Tahoma"/>
            <family val="2"/>
          </rPr>
          <t xml:space="preserve">
Cotopaxi</t>
        </r>
      </text>
    </comment>
    <comment ref="AE85"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1C8ADC5C-A613-446C-A86C-C26D73250C26}">
      <text>
        <r>
          <rPr>
            <b/>
            <sz val="9"/>
            <color indexed="81"/>
            <rFont val="Tahoma"/>
            <family val="2"/>
          </rPr>
          <t>Rubén Banda:</t>
        </r>
        <r>
          <rPr>
            <sz val="9"/>
            <color indexed="81"/>
            <rFont val="Tahoma"/>
            <family val="2"/>
          </rPr>
          <t xml:space="preserve">
Terremoto</t>
        </r>
      </text>
    </comment>
    <comment ref="L7" authorId="0" shapeId="0" xr:uid="{5948A953-903D-4B19-8118-F3C5B3068271}">
      <text>
        <r>
          <rPr>
            <b/>
            <sz val="9"/>
            <color indexed="81"/>
            <rFont val="Tahoma"/>
            <family val="2"/>
          </rPr>
          <t>Rubén Banda:</t>
        </r>
        <r>
          <rPr>
            <sz val="9"/>
            <color indexed="81"/>
            <rFont val="Tahoma"/>
            <family val="2"/>
          </rPr>
          <t xml:space="preserve">
Habitat III</t>
        </r>
      </text>
    </comment>
    <comment ref="J16" authorId="0" shapeId="0" xr:uid="{02C98BA5-3B53-4913-9880-7666AA894E4C}">
      <text>
        <r>
          <rPr>
            <b/>
            <sz val="9"/>
            <color indexed="81"/>
            <rFont val="Tahoma"/>
            <family val="2"/>
          </rPr>
          <t>Rubén Banda:</t>
        </r>
        <r>
          <rPr>
            <sz val="9"/>
            <color indexed="81"/>
            <rFont val="Tahoma"/>
            <family val="2"/>
          </rPr>
          <t xml:space="preserve">
Cotopaxi</t>
        </r>
      </text>
    </comment>
    <comment ref="K16" authorId="0" shapeId="0" xr:uid="{0FC35A07-643B-489F-981D-359118BD3A80}">
      <text>
        <r>
          <rPr>
            <b/>
            <sz val="9"/>
            <color indexed="81"/>
            <rFont val="Tahoma"/>
            <family val="2"/>
          </rPr>
          <t>Rubén Banda:</t>
        </r>
        <r>
          <rPr>
            <sz val="9"/>
            <color indexed="81"/>
            <rFont val="Tahoma"/>
            <family val="2"/>
          </rPr>
          <t xml:space="preserve">
Cotopaxi
</t>
        </r>
      </text>
    </comment>
    <comment ref="I26" authorId="0" shapeId="0" xr:uid="{9942852F-C8BD-4A67-9BD2-E85F347657A9}">
      <text>
        <r>
          <rPr>
            <b/>
            <sz val="9"/>
            <color indexed="81"/>
            <rFont val="Tahoma"/>
            <family val="2"/>
          </rPr>
          <t>Rubén Banda:</t>
        </r>
        <r>
          <rPr>
            <sz val="9"/>
            <color indexed="81"/>
            <rFont val="Tahoma"/>
            <family val="2"/>
          </rPr>
          <t xml:space="preserve">
estimado </t>
        </r>
      </text>
    </comment>
    <comment ref="I27" authorId="0" shapeId="0" xr:uid="{D7B92F0F-0601-4FBC-B920-1681114EEE27}">
      <text>
        <r>
          <rPr>
            <b/>
            <sz val="9"/>
            <color indexed="81"/>
            <rFont val="Tahoma"/>
            <family val="2"/>
          </rPr>
          <t>Rubén Banda:</t>
        </r>
        <r>
          <rPr>
            <sz val="9"/>
            <color indexed="81"/>
            <rFont val="Tahoma"/>
            <family val="2"/>
          </rPr>
          <t xml:space="preserve">
estimado </t>
        </r>
      </text>
    </comment>
    <comment ref="I29" authorId="0" shapeId="0" xr:uid="{2BB860D3-B854-4556-902A-5D7BEB56D5A1}">
      <text>
        <r>
          <rPr>
            <b/>
            <sz val="9"/>
            <color indexed="81"/>
            <rFont val="Tahoma"/>
            <family val="2"/>
          </rPr>
          <t>Rubén Banda:</t>
        </r>
        <r>
          <rPr>
            <sz val="9"/>
            <color indexed="81"/>
            <rFont val="Tahoma"/>
            <family val="2"/>
          </rPr>
          <t xml:space="preserve">
estimado </t>
        </r>
      </text>
    </comment>
    <comment ref="I42" authorId="0" shapeId="0" xr:uid="{13DAEBC9-A27E-497F-A8EE-E35FBB995FAA}">
      <text>
        <r>
          <rPr>
            <b/>
            <sz val="9"/>
            <color indexed="81"/>
            <rFont val="Tahoma"/>
            <family val="2"/>
          </rPr>
          <t>Rubén Banda:</t>
        </r>
        <r>
          <rPr>
            <sz val="9"/>
            <color indexed="81"/>
            <rFont val="Tahoma"/>
            <family val="2"/>
          </rPr>
          <t xml:space="preserve">
estimado </t>
        </r>
      </text>
    </comment>
    <comment ref="I43" authorId="0" shapeId="0" xr:uid="{5C2E2EF0-B0BB-4210-BD41-41B6FC0F675E}">
      <text>
        <r>
          <rPr>
            <b/>
            <sz val="9"/>
            <color indexed="81"/>
            <rFont val="Tahoma"/>
            <family val="2"/>
          </rPr>
          <t>Rubén Banda:</t>
        </r>
        <r>
          <rPr>
            <sz val="9"/>
            <color indexed="81"/>
            <rFont val="Tahoma"/>
            <family val="2"/>
          </rPr>
          <t xml:space="preserve">
estimado </t>
        </r>
      </text>
    </comment>
    <comment ref="I45" authorId="0" shapeId="0" xr:uid="{A5008B3B-DD3D-411E-AC20-59E9D7CE917D}">
      <text>
        <r>
          <rPr>
            <b/>
            <sz val="9"/>
            <color indexed="81"/>
            <rFont val="Tahoma"/>
            <family val="2"/>
          </rPr>
          <t>Rubén Banda:</t>
        </r>
        <r>
          <rPr>
            <sz val="9"/>
            <color indexed="81"/>
            <rFont val="Tahoma"/>
            <family val="2"/>
          </rPr>
          <t xml:space="preserve">
estimado </t>
        </r>
      </text>
    </comment>
    <comment ref="F71" authorId="0" shapeId="0" xr:uid="{903F2C2F-4F51-40D5-B1E6-1F60F27A7C16}">
      <text>
        <r>
          <rPr>
            <b/>
            <sz val="9"/>
            <color indexed="81"/>
            <rFont val="Tahoma"/>
            <family val="2"/>
          </rPr>
          <t>Rubén Banda:</t>
        </r>
        <r>
          <rPr>
            <sz val="9"/>
            <color indexed="81"/>
            <rFont val="Tahoma"/>
            <family val="2"/>
          </rPr>
          <t xml:space="preserve">
Terremoto</t>
        </r>
      </text>
    </comment>
    <comment ref="L71" authorId="0" shapeId="0" xr:uid="{494607BE-9B7F-4929-A7D8-88982E9FC60B}">
      <text>
        <r>
          <rPr>
            <b/>
            <sz val="9"/>
            <color indexed="81"/>
            <rFont val="Tahoma"/>
            <family val="2"/>
          </rPr>
          <t>Rubén Banda:</t>
        </r>
        <r>
          <rPr>
            <sz val="9"/>
            <color indexed="81"/>
            <rFont val="Tahoma"/>
            <family val="2"/>
          </rPr>
          <t xml:space="preserve">
Habitat III</t>
        </r>
      </text>
    </comment>
    <comment ref="J78" authorId="0" shapeId="0" xr:uid="{4F212599-B40C-40A9-BCB7-DF4D4ADCA8ED}">
      <text>
        <r>
          <rPr>
            <b/>
            <sz val="9"/>
            <color indexed="81"/>
            <rFont val="Tahoma"/>
            <family val="2"/>
          </rPr>
          <t>Rubén Banda:</t>
        </r>
        <r>
          <rPr>
            <sz val="9"/>
            <color indexed="81"/>
            <rFont val="Tahoma"/>
            <family val="2"/>
          </rPr>
          <t xml:space="preserve">
Cotopaxi</t>
        </r>
      </text>
    </comment>
    <comment ref="K78" authorId="0" shapeId="0" xr:uid="{CCFC7098-C9D6-419B-B310-41CBCD562B7D}">
      <text>
        <r>
          <rPr>
            <b/>
            <sz val="9"/>
            <color indexed="81"/>
            <rFont val="Tahoma"/>
            <family val="2"/>
          </rPr>
          <t>Rubén Banda:</t>
        </r>
        <r>
          <rPr>
            <sz val="9"/>
            <color indexed="81"/>
            <rFont val="Tahoma"/>
            <family val="2"/>
          </rPr>
          <t xml:space="preserve">
Cotopaxi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71413E4F-18E7-44FB-BA3D-E923274A295A}">
      <text>
        <r>
          <rPr>
            <b/>
            <sz val="9"/>
            <color indexed="81"/>
            <rFont val="Tahoma"/>
            <family val="2"/>
          </rPr>
          <t>Rubén Banda:</t>
        </r>
        <r>
          <rPr>
            <sz val="9"/>
            <color indexed="81"/>
            <rFont val="Tahoma"/>
            <family val="2"/>
          </rPr>
          <t xml:space="preserve">
Terremoto</t>
        </r>
      </text>
    </comment>
    <comment ref="L7" authorId="0" shapeId="0" xr:uid="{2599A2FC-CE5B-4029-BF3D-7B1EDA5ADB65}">
      <text>
        <r>
          <rPr>
            <b/>
            <sz val="9"/>
            <color indexed="81"/>
            <rFont val="Tahoma"/>
            <family val="2"/>
          </rPr>
          <t>Rubén Banda:</t>
        </r>
        <r>
          <rPr>
            <sz val="9"/>
            <color indexed="81"/>
            <rFont val="Tahoma"/>
            <family val="2"/>
          </rPr>
          <t xml:space="preserve">
Habitat III</t>
        </r>
      </text>
    </comment>
    <comment ref="M7" authorId="0" shapeId="0" xr:uid="{B5DA81D4-FA1F-41F0-A53A-7FEEB0DB8283}">
      <text>
        <r>
          <rPr>
            <b/>
            <sz val="9"/>
            <color indexed="81"/>
            <rFont val="Tahoma"/>
            <family val="2"/>
          </rPr>
          <t>Rubén Banda:</t>
        </r>
        <r>
          <rPr>
            <sz val="9"/>
            <color indexed="81"/>
            <rFont val="Tahoma"/>
            <family val="2"/>
          </rPr>
          <t xml:space="preserve">
Habitat III</t>
        </r>
      </text>
    </comment>
    <comment ref="N7" authorId="0" shapeId="0" xr:uid="{73F39900-D58F-4A6F-AD12-04D3B51EACF7}">
      <text>
        <r>
          <rPr>
            <b/>
            <sz val="9"/>
            <color indexed="81"/>
            <rFont val="Tahoma"/>
            <family val="2"/>
          </rPr>
          <t>Rubén Banda:</t>
        </r>
        <r>
          <rPr>
            <sz val="9"/>
            <color indexed="81"/>
            <rFont val="Tahoma"/>
            <family val="2"/>
          </rPr>
          <t xml:space="preserve">
Habitat III</t>
        </r>
      </text>
    </comment>
    <comment ref="J17" authorId="0" shapeId="0" xr:uid="{A173D13F-D5DF-41B2-91B6-834AFDDE022F}">
      <text>
        <r>
          <rPr>
            <b/>
            <sz val="9"/>
            <color indexed="81"/>
            <rFont val="Tahoma"/>
            <family val="2"/>
          </rPr>
          <t>Rubén Banda:</t>
        </r>
        <r>
          <rPr>
            <sz val="9"/>
            <color indexed="81"/>
            <rFont val="Tahoma"/>
            <family val="2"/>
          </rPr>
          <t xml:space="preserve">
Cotopaxi</t>
        </r>
      </text>
    </comment>
    <comment ref="K17" authorId="0" shapeId="0" xr:uid="{475D0DCD-665D-43E5-861C-E4A0BE11031B}">
      <text>
        <r>
          <rPr>
            <b/>
            <sz val="9"/>
            <color indexed="81"/>
            <rFont val="Tahoma"/>
            <family val="2"/>
          </rPr>
          <t>Rubén Banda:</t>
        </r>
        <r>
          <rPr>
            <sz val="9"/>
            <color indexed="81"/>
            <rFont val="Tahoma"/>
            <family val="2"/>
          </rPr>
          <t xml:space="preserve">
Cotopaxi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K34" authorId="0" shapeId="0" xr:uid="{AD8BAD7C-DFF7-4512-931E-1C7984FBF618}">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K50" authorId="0" shapeId="0" xr:uid="{2BC59BB3-69F8-4804-9FD3-B1E08F99B0E3}">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tc={E8AE7E18-A75C-4A28-AF34-A6020F016E63}</author>
  </authors>
  <commentList>
    <comment ref="FP4" authorId="0"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4" authorId="0"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GB4" authorId="0" shapeId="0" xr:uid="{B517DB97-6CBC-4F87-8DAA-F3859454CE36}">
      <text>
        <r>
          <rPr>
            <b/>
            <sz val="9"/>
            <color indexed="81"/>
            <rFont val="Tahoma"/>
            <family val="2"/>
          </rPr>
          <t>Rubén Banda:</t>
        </r>
        <r>
          <rPr>
            <sz val="9"/>
            <color indexed="81"/>
            <rFont val="Tahoma"/>
            <family val="2"/>
          </rPr>
          <t xml:space="preserve">
https://servicios.turismo.gob.ec/visualizador-movimientos</t>
        </r>
      </text>
    </comment>
    <comment ref="GC4" authorId="0" shapeId="0" xr:uid="{C4F187E8-6685-471C-8305-375F7167FE43}">
      <text>
        <r>
          <rPr>
            <b/>
            <sz val="9"/>
            <color indexed="81"/>
            <rFont val="Tahoma"/>
            <family val="2"/>
          </rPr>
          <t>Rubén Banda:</t>
        </r>
        <r>
          <rPr>
            <sz val="9"/>
            <color indexed="81"/>
            <rFont val="Tahoma"/>
            <family val="2"/>
          </rPr>
          <t xml:space="preserve">
https://servicios.turismo.gob.ec/visualizador-movimientos</t>
        </r>
      </text>
    </comment>
    <comment ref="JS38" authorId="1"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tc={0ED6B3C3-973C-4DCF-9072-6EAAE18B2440}</author>
  </authors>
  <commentList>
    <comment ref="G3" authorId="0" shapeId="0" xr:uid="{E1B8245F-10C9-4C40-95A5-9B4473249FA8}">
      <text>
        <r>
          <rPr>
            <b/>
            <sz val="9"/>
            <color indexed="81"/>
            <rFont val="Tahoma"/>
            <family val="2"/>
          </rPr>
          <t>Rubén Banda:</t>
        </r>
        <r>
          <rPr>
            <sz val="9"/>
            <color indexed="81"/>
            <rFont val="Tahoma"/>
            <family val="2"/>
          </rPr>
          <t xml:space="preserve">
25-28 feb 2017</t>
        </r>
      </text>
    </comment>
    <comment ref="H3" authorId="0" shapeId="0" xr:uid="{39E0DBF1-C64B-4302-9502-3C89AE42E398}">
      <text>
        <r>
          <rPr>
            <b/>
            <sz val="9"/>
            <color indexed="81"/>
            <rFont val="Tahoma"/>
            <family val="2"/>
          </rPr>
          <t>Rubén Banda:</t>
        </r>
        <r>
          <rPr>
            <sz val="9"/>
            <color indexed="81"/>
            <rFont val="Tahoma"/>
            <family val="2"/>
          </rPr>
          <t xml:space="preserve">
10-13 FEB 2018
</t>
        </r>
      </text>
    </comment>
    <comment ref="W3" authorId="0" shapeId="0" xr:uid="{FDAF7BE1-BCC0-48A3-B018-EE376A6CE3FF}">
      <text>
        <r>
          <rPr>
            <b/>
            <sz val="9"/>
            <color indexed="81"/>
            <rFont val="Tahoma"/>
            <family val="2"/>
          </rPr>
          <t>Rubén Banda:</t>
        </r>
        <r>
          <rPr>
            <sz val="9"/>
            <color indexed="81"/>
            <rFont val="Tahoma"/>
            <family val="2"/>
          </rPr>
          <t xml:space="preserve">
29-31 mar y 1 abr 2018</t>
        </r>
      </text>
    </comment>
    <comment ref="Y11" authorId="1" shapeId="0" xr:uid="{0ED6B3C3-973C-4DCF-9072-6EAAE18B2440}">
      <text>
        <t>[Comentario encadenado]
Su versión de Excel le permite leer este comentario encadenado; sin embargo, las ediciones que se apliquen se quitarán si el archivo se abre en una versión más reciente de Excel. Más información: https://go.microsoft.com/fwlink/?linkid=870924
Comentario:
    D:\RESPALDOS RBANDA\000 PLANIFICACION\Estadisticas y Datos\01B Boletines Feriados\Feriados 2020\1. Carnaval 2020   (Datos Carnaval 2020.xlsx)</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V3" authorId="0" shapeId="0" xr:uid="{29853972-F56B-442F-9DA9-5D8777521888}">
      <text>
        <r>
          <rPr>
            <b/>
            <sz val="9"/>
            <color indexed="81"/>
            <rFont val="Tahoma"/>
            <family val="2"/>
          </rPr>
          <t>Rubén Banda:</t>
        </r>
        <r>
          <rPr>
            <sz val="9"/>
            <color indexed="81"/>
            <rFont val="Tahoma"/>
            <family val="2"/>
          </rPr>
          <t xml:space="preserve">
29-31 mar y 1 abr 2018</t>
        </r>
      </text>
    </comment>
    <comment ref="W12" authorId="0" shapeId="0" xr:uid="{2FC8D522-E9F1-425E-BE31-106D17A09F88}">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<sst xmlns="http://schemas.openxmlformats.org/spreadsheetml/2006/main" count="7970" uniqueCount="1993">
  <si>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</si>
  <si>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</si>
  <si>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</si>
  <si>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</si>
  <si>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</si>
  <si>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</si>
  <si>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</si>
  <si>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</si>
  <si>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</si>
  <si>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</si>
  <si>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</si>
  <si>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</si>
  <si>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</si>
  <si>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</si>
  <si>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</si>
  <si>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</si>
  <si>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</si>
  <si>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</si>
  <si>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</si>
  <si>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</si>
  <si>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</si>
  <si>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</si>
  <si>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</si>
  <si>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</si>
  <si>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</si>
  <si>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</si>
  <si>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</si>
  <si>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</si>
  <si>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</si>
  <si>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</si>
  <si>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</si>
  <si>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</si>
  <si>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</si>
  <si>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</si>
  <si>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</si>
  <si>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</si>
  <si>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</si>
  <si>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</si>
  <si>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</si>
  <si>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</si>
  <si>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</si>
  <si>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</si>
  <si>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</si>
  <si>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</si>
  <si>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</si>
  <si>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</si>
  <si>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</si>
  <si>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</si>
  <si>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</si>
  <si>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</si>
  <si>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</si>
  <si>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</si>
  <si>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</si>
  <si>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</si>
  <si>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</si>
  <si>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</si>
  <si>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</si>
  <si>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</si>
  <si>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</si>
  <si>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</si>
  <si>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</si>
  <si>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</si>
  <si>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</si>
  <si>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</si>
  <si>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</si>
  <si>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</si>
  <si>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</si>
  <si>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</si>
  <si>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</si>
  <si>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</si>
  <si>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</si>
  <si>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</si>
  <si>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</si>
  <si>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</si>
  <si>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</si>
  <si>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</si>
  <si>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</si>
  <si>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</si>
  <si>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</si>
  <si>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</si>
  <si>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</si>
  <si>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</si>
  <si>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</si>
  <si>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</si>
  <si>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</si>
  <si>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</si>
  <si>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</si>
  <si>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</si>
  <si>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</si>
  <si>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</si>
  <si>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</si>
  <si>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</si>
  <si>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</si>
  <si>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</si>
  <si>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</si>
  <si>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</si>
  <si>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</si>
  <si>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</si>
  <si>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</si>
  <si>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</si>
  <si>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</si>
  <si>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</si>
  <si>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</si>
  <si>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</si>
  <si>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</si>
  <si>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</si>
  <si>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</si>
  <si>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</si>
  <si>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</si>
  <si>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</si>
  <si>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</si>
  <si>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</si>
  <si>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</si>
  <si>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</si>
  <si>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</si>
  <si>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</si>
  <si>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</si>
  <si>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</si>
  <si>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</si>
  <si>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</si>
  <si>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</si>
  <si>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</si>
  <si>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</si>
  <si>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</si>
  <si>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</si>
  <si>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</si>
  <si>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</si>
  <si>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</si>
  <si>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</si>
  <si>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</si>
  <si>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</si>
  <si>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</si>
  <si>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</si>
  <si>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</si>
  <si>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</si>
  <si>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</si>
  <si>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</si>
  <si>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</si>
  <si>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</si>
  <si>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</si>
  <si>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</si>
  <si>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</si>
  <si>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</si>
  <si>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</si>
  <si>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</si>
  <si>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</si>
  <si>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</si>
  <si>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</si>
  <si>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</si>
  <si>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</si>
  <si>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</si>
  <si>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</si>
  <si>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</si>
  <si>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</si>
  <si>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</si>
  <si>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</si>
  <si>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</si>
  <si>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</si>
  <si>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</si>
  <si>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</si>
  <si>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</si>
  <si>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</si>
  <si>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</si>
  <si>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</si>
  <si>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</si>
  <si>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</si>
  <si>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</si>
  <si>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</si>
  <si>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</si>
  <si>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</si>
  <si>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</si>
  <si>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</si>
  <si>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</si>
  <si>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</si>
  <si>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</si>
  <si>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</si>
  <si>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</si>
  <si>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</si>
  <si>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</si>
  <si>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</si>
  <si>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</si>
  <si>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</si>
  <si>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</si>
  <si>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</si>
  <si>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</si>
  <si>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</si>
  <si>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</si>
  <si>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</si>
  <si>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</si>
  <si>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</si>
  <si>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</si>
  <si>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</si>
  <si>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</si>
  <si>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</si>
  <si>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</si>
  <si>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</si>
  <si>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</si>
  <si>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</si>
  <si>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</si>
  <si>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</si>
  <si>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</si>
  <si>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</si>
  <si>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</si>
  <si>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</si>
  <si>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</si>
  <si>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</si>
  <si>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</si>
  <si>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</si>
  <si>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</si>
  <si>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</si>
  <si>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</si>
  <si>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</si>
  <si>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</si>
  <si>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</si>
  <si>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</si>
  <si>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</si>
  <si>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</si>
  <si>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</si>
  <si>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</si>
  <si>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</si>
  <si>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</si>
  <si>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</si>
  <si>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</si>
  <si>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</si>
  <si>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</si>
  <si>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</si>
  <si>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</si>
  <si>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</si>
  <si>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</si>
  <si>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</si>
  <si>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</si>
  <si>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</si>
  <si>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</si>
  <si>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</si>
  <si>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</si>
  <si>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</si>
  <si>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</si>
  <si>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</si>
  <si>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</si>
  <si>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</si>
  <si>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</si>
  <si>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</si>
  <si>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</si>
  <si>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</si>
  <si>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</si>
  <si>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</si>
  <si>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</si>
  <si>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</si>
  <si>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</si>
  <si>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</si>
  <si>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</si>
  <si>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</si>
  <si>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</si>
  <si>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</si>
  <si>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</si>
  <si>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</si>
  <si>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</si>
  <si>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</si>
  <si>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</si>
  <si>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</si>
  <si>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</si>
  <si>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</si>
  <si>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</si>
  <si>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</si>
  <si>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</si>
  <si>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</si>
  <si>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</si>
  <si>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</si>
  <si>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</si>
  <si>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</si>
  <si>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</si>
  <si>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</si>
  <si>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</si>
  <si>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</si>
  <si>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</si>
  <si>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</si>
  <si>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</si>
  <si>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</si>
  <si>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</si>
  <si>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</si>
  <si>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</si>
  <si>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</si>
  <si>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</si>
  <si>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</si>
  <si>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</si>
  <si>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</si>
  <si>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</si>
  <si>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</si>
  <si>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</si>
  <si>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</si>
  <si>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</si>
  <si>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</si>
  <si>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</si>
  <si>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</si>
  <si>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</si>
  <si>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</si>
  <si>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</si>
  <si>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</si>
  <si>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</si>
  <si>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</si>
  <si>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</si>
  <si>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</si>
  <si>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</si>
  <si>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</si>
  <si>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</si>
  <si>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</si>
  <si>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</si>
  <si>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</si>
  <si>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</si>
  <si>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</si>
  <si>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</si>
  <si>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</si>
  <si>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</si>
  <si>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</si>
  <si>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</si>
  <si>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</si>
  <si>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</si>
  <si>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</si>
  <si>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</si>
  <si>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</si>
  <si>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</si>
  <si>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</si>
  <si>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</si>
  <si>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</si>
  <si>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</si>
  <si>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</si>
  <si>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</si>
  <si>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</si>
  <si>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</si>
  <si>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</si>
  <si>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</si>
  <si>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</si>
  <si>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</si>
  <si>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</si>
  <si>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</si>
  <si>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</si>
  <si>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</si>
  <si>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</si>
  <si>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</si>
  <si>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</si>
  <si>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</si>
  <si>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</si>
  <si>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</si>
  <si>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</si>
  <si>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</si>
  <si>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</si>
  <si>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</si>
  <si>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</si>
  <si>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</si>
  <si>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</si>
  <si>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</si>
  <si>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</si>
  <si>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</si>
  <si>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</si>
  <si>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</si>
  <si>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</si>
  <si>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</si>
  <si>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</si>
  <si>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</si>
  <si>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</si>
  <si>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</si>
  <si>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</si>
  <si>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</si>
  <si>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</si>
  <si>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</si>
  <si>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</si>
  <si>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</si>
  <si>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</si>
  <si>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</si>
  <si>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</si>
  <si>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</si>
  <si>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</si>
  <si>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</si>
  <si>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</si>
  <si>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</si>
  <si>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</si>
  <si>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</si>
  <si>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</si>
  <si>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</si>
  <si>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</si>
  <si>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</si>
  <si>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</si>
  <si>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</si>
  <si>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</si>
  <si>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</si>
  <si>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</si>
  <si>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</si>
  <si>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</si>
  <si>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</si>
  <si>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</si>
  <si>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</si>
  <si>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</si>
  <si>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</si>
  <si>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</si>
  <si>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</si>
  <si>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</si>
  <si>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</si>
  <si>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</si>
  <si>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</si>
  <si>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</si>
  <si>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</si>
  <si>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</si>
  <si>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</si>
  <si>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</si>
  <si>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</si>
  <si>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</si>
  <si>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</si>
  <si>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</si>
  <si>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</si>
  <si>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</si>
  <si>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</si>
  <si>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</si>
  <si>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</si>
  <si>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</si>
  <si>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</si>
  <si>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</si>
  <si>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</si>
  <si>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</si>
  <si>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</si>
  <si>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</si>
  <si>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</si>
  <si>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</si>
  <si>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</si>
  <si>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</si>
  <si>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</si>
  <si>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</si>
  <si>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</si>
  <si>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</si>
  <si>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</si>
  <si>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</si>
  <si>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</si>
  <si>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</si>
  <si>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</si>
  <si>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</si>
  <si>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</si>
  <si>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</si>
  <si>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</si>
  <si>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</si>
  <si>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</si>
  <si>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</si>
  <si>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</si>
  <si>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</si>
  <si>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</si>
  <si>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</si>
  <si>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</si>
  <si>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</si>
  <si>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</si>
  <si>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</si>
  <si>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</si>
  <si>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</si>
  <si>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</si>
  <si>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</si>
  <si>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</si>
  <si>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</si>
  <si>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</si>
  <si>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</si>
  <si>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</si>
  <si>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</si>
  <si>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</si>
  <si>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</si>
  <si>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</si>
  <si>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</si>
  <si>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</si>
  <si>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</si>
  <si>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</si>
  <si>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</si>
  <si>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</si>
  <si>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</si>
  <si>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</si>
  <si>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</si>
  <si>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</si>
  <si>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</si>
  <si>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</si>
  <si>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</si>
  <si>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</si>
  <si>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</si>
  <si>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</si>
  <si>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</si>
  <si>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</si>
  <si>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</si>
  <si>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</si>
  <si>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</si>
  <si>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</si>
  <si>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</si>
  <si>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</si>
  <si>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</si>
  <si>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</si>
  <si>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</si>
  <si>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</si>
  <si>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</si>
  <si>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</si>
  <si>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</si>
  <si>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</si>
  <si>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</si>
  <si>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</si>
  <si>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</si>
  <si>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</si>
  <si>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</si>
  <si>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</si>
  <si>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</si>
  <si>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</si>
  <si>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</si>
  <si>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</si>
  <si>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</si>
  <si>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</si>
  <si>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</si>
  <si>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</si>
  <si>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</si>
  <si>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</si>
  <si>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</si>
  <si>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</si>
  <si>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</si>
  <si>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</si>
  <si>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</si>
  <si>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</si>
  <si>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</si>
  <si>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</si>
  <si>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</si>
  <si>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</si>
  <si>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</si>
  <si>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</si>
  <si>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</si>
  <si>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</si>
  <si>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</si>
  <si>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</si>
  <si>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</si>
  <si>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</si>
  <si>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</si>
  <si>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</si>
  <si>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</si>
  <si>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</si>
  <si>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</si>
  <si>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</si>
  <si>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</si>
  <si>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</si>
  <si>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</si>
  <si>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</si>
  <si>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</si>
  <si>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</si>
  <si>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</si>
  <si>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</si>
  <si>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</si>
  <si>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</si>
  <si>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</si>
  <si>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</si>
  <si>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</si>
  <si>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</si>
  <si>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</si>
  <si>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</si>
  <si>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</si>
  <si>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</si>
  <si>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</si>
  <si>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</si>
  <si>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</si>
  <si>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</si>
  <si>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</si>
  <si>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</si>
  <si>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</si>
  <si>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</si>
  <si>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</si>
  <si>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</si>
  <si>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</si>
  <si>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</si>
  <si>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</si>
  <si>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</si>
  <si>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</si>
  <si>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</si>
  <si>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</si>
  <si>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</si>
  <si>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</si>
  <si>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</si>
  <si>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</si>
  <si>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</si>
  <si>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</si>
  <si>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</si>
  <si>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</si>
  <si>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</si>
  <si>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</si>
  <si>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</si>
  <si>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</si>
  <si>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</si>
  <si>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</si>
  <si>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</si>
  <si>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</si>
  <si>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Total anual</t>
  </si>
  <si>
    <t>C</t>
  </si>
  <si>
    <t>Centro histórico</t>
  </si>
  <si>
    <t>La Floresta</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</si>
  <si>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</si>
  <si>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</si>
  <si>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</si>
  <si>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</si>
  <si>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</si>
  <si>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</si>
  <si>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</si>
  <si>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</si>
  <si>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</si>
  <si>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</si>
  <si>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</si>
  <si>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</si>
  <si>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</si>
  <si>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</si>
  <si>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</si>
  <si>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</si>
  <si>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</si>
  <si>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</si>
  <si>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</si>
  <si>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</si>
  <si>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</si>
  <si>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</si>
  <si>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</si>
  <si>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</si>
  <si>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</si>
  <si>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</si>
  <si>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</si>
  <si>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</si>
  <si>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</si>
  <si>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</si>
  <si>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</si>
  <si>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</si>
  <si>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</si>
  <si>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</si>
  <si>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</si>
  <si>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</si>
  <si>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</si>
  <si>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</si>
  <si>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</si>
  <si>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</si>
  <si>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</si>
  <si>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</si>
  <si>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</si>
  <si>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</si>
  <si>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</si>
  <si>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</si>
  <si>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</si>
  <si>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</si>
  <si>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</si>
  <si>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</si>
  <si>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</si>
  <si>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</si>
  <si>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</si>
  <si>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</si>
  <si>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</si>
  <si>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</si>
  <si>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</si>
  <si>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</si>
  <si>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</si>
  <si>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</si>
  <si>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</si>
  <si>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</si>
  <si>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</si>
  <si>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</si>
  <si>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</si>
  <si>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</si>
  <si>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</si>
  <si>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</si>
  <si>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</si>
  <si>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</si>
  <si>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</si>
  <si>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</si>
  <si>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</si>
  <si>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</si>
  <si>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</si>
  <si>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</si>
  <si>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</si>
  <si>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</si>
  <si>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</si>
  <si>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</si>
  <si>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</si>
  <si>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</si>
  <si>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</si>
  <si>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</si>
  <si>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</si>
  <si>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</si>
  <si>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</si>
  <si>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</si>
  <si>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</si>
  <si>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</si>
  <si>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</si>
  <si>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</si>
  <si>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</si>
  <si>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</si>
  <si>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</si>
  <si>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</si>
  <si>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</si>
  <si>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</si>
  <si>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</si>
  <si>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</si>
  <si>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</si>
  <si>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</si>
  <si>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</si>
  <si>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</si>
  <si>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</si>
  <si>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</si>
  <si>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</si>
  <si>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</si>
  <si>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</si>
  <si>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</si>
  <si>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</si>
  <si>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</si>
  <si>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</si>
  <si>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</si>
  <si>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</si>
  <si>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</si>
  <si>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</si>
  <si>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</si>
  <si>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</si>
  <si>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</si>
  <si>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</si>
  <si>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</si>
  <si>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</si>
  <si>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</si>
  <si>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</si>
  <si>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</si>
  <si>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</si>
  <si>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</si>
  <si>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</si>
  <si>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</si>
  <si>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</si>
  <si>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</si>
  <si>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</si>
  <si>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</si>
  <si>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</si>
  <si>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</si>
  <si>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</si>
  <si>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</si>
  <si>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</si>
  <si>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</si>
  <si>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</si>
  <si>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</si>
  <si>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</si>
  <si>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</si>
  <si>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</si>
  <si>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</si>
  <si>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</si>
  <si>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</si>
  <si>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</si>
  <si>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</si>
  <si>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</si>
  <si>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</si>
  <si>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</si>
  <si>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</si>
  <si>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</si>
  <si>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</si>
  <si>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</si>
  <si>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</si>
  <si>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</si>
  <si>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</si>
  <si>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</si>
  <si>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</si>
  <si>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</si>
  <si>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</si>
  <si>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</si>
  <si>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</si>
  <si>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</si>
  <si>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</si>
  <si>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</si>
  <si>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</si>
  <si>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</si>
  <si>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</si>
  <si>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</si>
  <si>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</si>
  <si>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</si>
  <si>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</si>
  <si>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</si>
  <si>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</si>
  <si>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</si>
  <si>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</si>
  <si>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</si>
  <si>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</si>
  <si>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</si>
  <si>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</si>
  <si>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</si>
  <si>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</si>
  <si>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</si>
  <si>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</si>
  <si>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</si>
  <si>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</si>
  <si>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</si>
  <si>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</si>
  <si>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</si>
  <si>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</si>
  <si>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</si>
  <si>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</si>
  <si>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</si>
  <si>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</si>
  <si>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</si>
  <si>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</si>
  <si>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</si>
  <si>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</si>
  <si>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</si>
  <si>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</si>
  <si>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</si>
  <si>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</si>
  <si>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</si>
  <si>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</si>
  <si>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</si>
  <si>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</si>
  <si>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</si>
  <si>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</si>
  <si>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</si>
  <si>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</si>
  <si>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</si>
  <si>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</si>
  <si>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</si>
  <si>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</si>
  <si>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</si>
  <si>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</si>
  <si>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</si>
  <si>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</si>
  <si>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</si>
  <si>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</si>
  <si>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</si>
  <si>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</si>
  <si>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</si>
  <si>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</si>
  <si>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</si>
  <si>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</si>
  <si>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</si>
  <si>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</si>
  <si>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</si>
  <si>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</si>
  <si>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</si>
  <si>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</si>
  <si>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</si>
  <si>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</si>
  <si>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</si>
  <si>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</si>
  <si>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</si>
  <si>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</si>
  <si>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</si>
  <si>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</si>
  <si>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</si>
  <si>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</si>
  <si>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</si>
  <si>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2022 (e)</t>
  </si>
  <si>
    <t>2023 (e)</t>
  </si>
  <si>
    <t>2024 (e)</t>
  </si>
  <si>
    <t>2025 (e)</t>
  </si>
  <si>
    <t>2017-2018</t>
  </si>
  <si>
    <t>Mes de alta demanda</t>
  </si>
  <si>
    <t>10 meses de muy alta demana histórica</t>
  </si>
  <si>
    <t>Datos estimados</t>
  </si>
  <si>
    <t>ajustado 19JUN2018</t>
  </si>
  <si>
    <t>Clave</t>
  </si>
  <si>
    <t>2017 (estimado) total</t>
  </si>
  <si>
    <t>2018 (estimado) total</t>
  </si>
  <si>
    <t>DOMESTICO</t>
  </si>
  <si>
    <t xml:space="preserve">(e) </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</si>
  <si>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</si>
  <si>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</si>
  <si>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</si>
  <si>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</si>
  <si>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</si>
  <si>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</si>
  <si>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</si>
  <si>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</si>
  <si>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</si>
  <si>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</si>
  <si>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</si>
  <si>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</si>
  <si>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</si>
  <si>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</si>
  <si>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</si>
  <si>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</si>
  <si>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</si>
  <si>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</si>
  <si>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Variación (e) 2016-2018</t>
  </si>
  <si>
    <t xml:space="preserve">2019 (e) </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</si>
  <si>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</si>
  <si>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</si>
  <si>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</si>
  <si>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</si>
  <si>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</si>
  <si>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</si>
  <si>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</si>
  <si>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</si>
  <si>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</si>
  <si>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</si>
  <si>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</si>
  <si>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</si>
  <si>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</si>
  <si>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</si>
  <si>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</si>
  <si>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</si>
  <si>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</si>
  <si>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</si>
  <si>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</si>
  <si>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</si>
  <si>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</si>
  <si>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</si>
  <si>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</si>
  <si>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</si>
  <si>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</si>
  <si>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</si>
  <si>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</si>
  <si>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</si>
  <si>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</si>
  <si>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</si>
  <si>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</si>
  <si>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</si>
  <si>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</si>
  <si>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</si>
  <si>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</si>
  <si>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</si>
  <si>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</si>
  <si>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</si>
  <si>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</si>
  <si>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</si>
  <si>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</si>
  <si>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</si>
  <si>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</si>
  <si>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</si>
  <si>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</si>
  <si>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</si>
  <si>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</si>
  <si>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</si>
  <si>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</si>
  <si>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</si>
  <si>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</si>
  <si>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</si>
  <si>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</si>
  <si>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</si>
  <si>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</si>
  <si>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</si>
  <si>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</si>
  <si>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</si>
  <si>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</si>
  <si>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</si>
  <si>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</si>
  <si>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</si>
  <si>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</si>
  <si>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</si>
  <si>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</si>
  <si>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</si>
  <si>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</si>
  <si>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</si>
  <si>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</si>
  <si>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</si>
  <si>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</si>
  <si>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</si>
  <si>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</si>
  <si>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</si>
  <si>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</si>
  <si>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</si>
  <si>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</si>
  <si>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</si>
  <si>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</si>
  <si>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</si>
  <si>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</si>
  <si>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</si>
  <si>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</si>
  <si>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</si>
  <si>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</si>
  <si>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</si>
  <si>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</si>
  <si>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</si>
  <si>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</si>
  <si>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</si>
  <si>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</si>
  <si>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</si>
  <si>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</si>
  <si>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</si>
  <si>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</si>
  <si>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</si>
  <si>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</si>
  <si>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</si>
  <si>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</si>
  <si>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</si>
  <si>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</si>
  <si>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</si>
  <si>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</si>
  <si>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</si>
  <si>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</si>
  <si>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</si>
  <si>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</si>
  <si>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</si>
  <si>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</si>
  <si>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</si>
  <si>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</si>
  <si>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</si>
  <si>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</si>
  <si>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</si>
  <si>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</si>
  <si>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</si>
  <si>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</si>
  <si>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</si>
  <si>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</si>
  <si>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</si>
  <si>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</si>
  <si>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</si>
  <si>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</si>
  <si>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</si>
  <si>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</si>
  <si>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</si>
  <si>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</si>
  <si>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</si>
  <si>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</si>
  <si>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</si>
  <si>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</si>
  <si>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</si>
  <si>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</si>
  <si>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</si>
  <si>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</si>
  <si>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</si>
  <si>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</si>
  <si>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</si>
  <si>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</si>
  <si>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</si>
  <si>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</si>
  <si>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</si>
  <si>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</si>
  <si>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</si>
  <si>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</si>
  <si>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</si>
  <si>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</si>
  <si>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</si>
  <si>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</si>
  <si>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</si>
  <si>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</si>
  <si>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</si>
  <si>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</si>
  <si>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</si>
  <si>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</si>
  <si>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</si>
  <si>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</si>
  <si>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</si>
  <si>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</si>
  <si>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</si>
  <si>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</si>
  <si>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</si>
  <si>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</si>
  <si>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</si>
  <si>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</si>
  <si>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</si>
  <si>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</si>
  <si>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</si>
  <si>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</si>
  <si>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</si>
  <si>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</si>
  <si>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</si>
  <si>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</si>
  <si>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</si>
  <si>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</si>
  <si>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</si>
  <si>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</si>
  <si>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</si>
  <si>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</si>
  <si>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</si>
  <si>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</si>
  <si>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</si>
  <si>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</si>
  <si>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</si>
  <si>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</si>
  <si>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</si>
  <si>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</si>
  <si>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</si>
  <si>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</si>
  <si>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</si>
  <si>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</si>
  <si>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</si>
  <si>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</si>
  <si>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</si>
  <si>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</si>
  <si>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</si>
  <si>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</si>
  <si>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</si>
  <si>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</si>
  <si>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</si>
  <si>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</si>
  <si>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</si>
  <si>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</si>
  <si>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</si>
  <si>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</si>
  <si>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</si>
  <si>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</si>
  <si>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</si>
  <si>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</si>
  <si>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</si>
  <si>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</si>
  <si>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</si>
  <si>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</si>
  <si>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</si>
  <si>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</si>
  <si>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</si>
  <si>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</si>
  <si>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</si>
  <si>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</si>
  <si>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</si>
  <si>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</si>
  <si>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</si>
  <si>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</si>
  <si>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</si>
  <si>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</si>
  <si>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</si>
  <si>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</si>
  <si>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</si>
  <si>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</si>
  <si>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</si>
  <si>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</si>
  <si>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</si>
  <si>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</si>
  <si>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</si>
  <si>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</si>
  <si>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</si>
  <si>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</si>
  <si>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</si>
  <si>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</si>
  <si>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</si>
  <si>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</si>
  <si>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</si>
  <si>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</si>
  <si>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</si>
  <si>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</si>
  <si>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</si>
  <si>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</si>
  <si>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</si>
  <si>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</si>
  <si>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</si>
  <si>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</si>
  <si>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</si>
  <si>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</si>
  <si>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</si>
  <si>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</si>
  <si>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</si>
  <si>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</si>
  <si>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</si>
  <si>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</si>
  <si>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</si>
  <si>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</si>
  <si>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</si>
  <si>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</si>
  <si>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Migración. 07may2019-datos abr2019</t>
  </si>
  <si>
    <t>ajustado el 13MAY2019</t>
  </si>
  <si>
    <t>kilómetros cuadrados (42% del territorio del DMQ)</t>
  </si>
  <si>
    <t>variación # establecimiento</t>
  </si>
  <si>
    <t>variación # habitaciones</t>
  </si>
  <si>
    <t>variación # plazas</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</si>
  <si>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</si>
  <si>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</si>
  <si>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</si>
  <si>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</si>
  <si>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</si>
  <si>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</si>
  <si>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</si>
  <si>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</si>
  <si>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</si>
  <si>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</si>
  <si>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</si>
  <si>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</si>
  <si>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</si>
  <si>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</si>
  <si>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</si>
  <si>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</si>
  <si>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</si>
  <si>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</si>
  <si>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</si>
  <si>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</si>
  <si>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</si>
  <si>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</si>
  <si>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</si>
  <si>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</si>
  <si>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</si>
  <si>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</si>
  <si>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</si>
  <si>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</si>
  <si>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</si>
  <si>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</si>
  <si>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</si>
  <si>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</si>
  <si>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</si>
  <si>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</si>
  <si>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</si>
  <si>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</si>
  <si>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</si>
  <si>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</si>
  <si>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</si>
  <si>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</si>
  <si>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</si>
  <si>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</si>
  <si>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</si>
  <si>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</si>
  <si>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</si>
  <si>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</si>
  <si>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</si>
  <si>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</si>
  <si>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</si>
  <si>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</si>
  <si>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</si>
  <si>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</si>
  <si>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</si>
  <si>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</si>
  <si>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</si>
  <si>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</si>
  <si>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</si>
  <si>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</si>
  <si>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</si>
  <si>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</si>
  <si>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</si>
  <si>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</si>
  <si>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</si>
  <si>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</si>
  <si>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</si>
  <si>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</si>
  <si>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</si>
  <si>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</si>
  <si>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</si>
  <si>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</si>
  <si>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</si>
  <si>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</si>
  <si>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</si>
  <si>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</si>
  <si>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</si>
  <si>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</si>
  <si>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</si>
  <si>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</si>
  <si>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</si>
  <si>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</si>
  <si>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</si>
  <si>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</si>
  <si>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</si>
  <si>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</si>
  <si>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</si>
  <si>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</si>
  <si>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</si>
  <si>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</si>
  <si>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</si>
  <si>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</si>
  <si>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</si>
  <si>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</si>
  <si>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</si>
  <si>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</si>
  <si>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</si>
  <si>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</si>
  <si>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</si>
  <si>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</si>
  <si>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</si>
  <si>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</si>
  <si>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</si>
  <si>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</si>
  <si>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</si>
  <si>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</si>
  <si>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</si>
  <si>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</si>
  <si>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</si>
  <si>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</si>
  <si>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</si>
  <si>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</si>
  <si>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</si>
  <si>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</si>
  <si>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</si>
  <si>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</si>
  <si>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</si>
  <si>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</si>
  <si>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</si>
  <si>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</si>
  <si>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</si>
  <si>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</si>
  <si>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</si>
  <si>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</si>
  <si>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</si>
  <si>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</si>
  <si>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</si>
  <si>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</si>
  <si>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</si>
  <si>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</si>
  <si>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</si>
  <si>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</si>
  <si>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</si>
  <si>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</si>
  <si>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</si>
  <si>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</si>
  <si>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</si>
  <si>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</si>
  <si>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</si>
  <si>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</si>
  <si>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</si>
  <si>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</si>
  <si>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</si>
  <si>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</si>
  <si>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</si>
  <si>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</si>
  <si>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</si>
  <si>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</si>
  <si>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</si>
  <si>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</si>
  <si>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</si>
  <si>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</si>
  <si>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</si>
  <si>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</si>
  <si>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</si>
  <si>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</si>
  <si>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</si>
  <si>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</si>
  <si>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</si>
  <si>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</si>
  <si>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</si>
  <si>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</si>
  <si>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</si>
  <si>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</si>
  <si>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</si>
  <si>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</si>
  <si>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</si>
  <si>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</si>
  <si>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</si>
  <si>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</si>
  <si>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</si>
  <si>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</si>
  <si>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</si>
  <si>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</si>
  <si>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</si>
  <si>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</si>
  <si>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</si>
  <si>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</si>
  <si>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</si>
  <si>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</si>
  <si>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</si>
  <si>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</si>
  <si>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</si>
  <si>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</si>
  <si>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</si>
  <si>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</si>
  <si>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</si>
  <si>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</si>
  <si>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</si>
  <si>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</si>
  <si>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</si>
  <si>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</si>
  <si>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</si>
  <si>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</si>
  <si>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</si>
  <si>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</si>
  <si>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</si>
  <si>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</si>
  <si>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</si>
  <si>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</si>
  <si>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</si>
  <si>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</si>
  <si>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</si>
  <si>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</si>
  <si>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</si>
  <si>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</si>
  <si>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</si>
  <si>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</si>
  <si>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</si>
  <si>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</si>
  <si>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</si>
  <si>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</si>
  <si>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</si>
  <si>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</si>
  <si>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</si>
  <si>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</si>
  <si>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</si>
  <si>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</si>
  <si>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</si>
  <si>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</si>
  <si>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</si>
  <si>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</si>
  <si>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</si>
  <si>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</si>
  <si>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</si>
  <si>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</si>
  <si>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</si>
  <si>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</si>
  <si>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</si>
  <si>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</si>
  <si>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</si>
  <si>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</si>
  <si>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</si>
  <si>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</si>
  <si>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</si>
  <si>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</si>
  <si>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META MC 2019: 705,000</t>
  </si>
  <si>
    <t>Fuente datos 2020</t>
  </si>
  <si>
    <t>Metas Mi Ciudad 2020</t>
  </si>
  <si>
    <t>META MC 2020: 715.000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</si>
  <si>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</si>
  <si>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</si>
  <si>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</si>
  <si>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</si>
  <si>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</si>
  <si>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</si>
  <si>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</si>
  <si>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</si>
  <si>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</si>
  <si>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 xml:space="preserve">Perfil del turista de negocios  </t>
  </si>
  <si>
    <t xml:space="preserve">Levantamiento de eventos realizados en venues en el DMQ </t>
  </si>
  <si>
    <t>Investigación continua en medios de comunicación</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</si>
  <si>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</si>
  <si>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</si>
  <si>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</si>
  <si>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</si>
  <si>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</si>
  <si>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</si>
  <si>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</si>
  <si>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</si>
  <si>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</si>
  <si>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</si>
  <si>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</si>
  <si>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</si>
  <si>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</si>
  <si>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</si>
  <si>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</si>
  <si>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</si>
  <si>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</si>
  <si>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</si>
  <si>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</si>
  <si>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</si>
  <si>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</si>
  <si>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Tasa de Ocupación Hotelera</t>
  </si>
  <si>
    <t>Estancia Media</t>
  </si>
  <si>
    <t>Total Pernoctaciones</t>
  </si>
  <si>
    <t>Tarifa de Habitación Ocupada</t>
  </si>
  <si>
    <t>3 estrellas</t>
  </si>
  <si>
    <t>4 estrellas</t>
  </si>
  <si>
    <t>5 estrellas</t>
  </si>
  <si>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</si>
  <si>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</si>
  <si>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</si>
  <si>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</si>
  <si>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</si>
  <si>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</si>
  <si>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</si>
  <si>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</si>
  <si>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</si>
  <si>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</si>
  <si>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</si>
  <si>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</si>
  <si>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</si>
  <si>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</si>
  <si>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</si>
  <si>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</si>
  <si>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</si>
  <si>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</si>
  <si>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</si>
  <si>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</si>
  <si>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</si>
  <si>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</si>
  <si>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</si>
  <si>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</si>
  <si>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</si>
  <si>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</si>
  <si>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</si>
  <si>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</si>
  <si>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</si>
  <si>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</si>
  <si>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</si>
  <si>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</si>
  <si>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</si>
  <si>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</si>
  <si>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</si>
  <si>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</si>
  <si>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</si>
  <si>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</si>
  <si>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</si>
  <si>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</si>
  <si>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</si>
  <si>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</si>
  <si>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</si>
  <si>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</si>
  <si>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</si>
  <si>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</si>
  <si>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</si>
  <si>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</si>
  <si>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</si>
  <si>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</si>
  <si>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SIIT 2019-2021 Quito Turismo; UIO_EOH_DIC_2020.xlsm</t>
  </si>
  <si>
    <t>Fuente: SIIT 2019-2021 Quito Turismo; UIO_EOH_ENE_2021.xlsm</t>
  </si>
  <si>
    <t>Encuesta de Ocucación Hotelera (datos principales)</t>
  </si>
  <si>
    <t>Fuente dato UIO: Proyecciones poblacion DMQ 2030.xlsx</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</si>
  <si>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</si>
  <si>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</si>
  <si>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</si>
  <si>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</si>
  <si>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</si>
  <si>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</si>
  <si>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</si>
  <si>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</si>
  <si>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</si>
  <si>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</si>
  <si>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</si>
  <si>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</si>
  <si>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</si>
  <si>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</si>
  <si>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</si>
  <si>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</si>
  <si>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</si>
  <si>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</si>
  <si>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</si>
  <si>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</si>
  <si>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</si>
  <si>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2020 (estimado) total</t>
  </si>
  <si>
    <t>2021 (estimado) total</t>
  </si>
  <si>
    <t>(estimado)</t>
  </si>
  <si>
    <t>Personas 2021</t>
  </si>
  <si>
    <t>Fuente: Quito Turismo; Dato AL 22ENE2021; Dir. Calidad</t>
  </si>
  <si>
    <t>https://servicios.turismo.gob.ec/visualizador-economico</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</si>
  <si>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</si>
  <si>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</si>
  <si>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</si>
  <si>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</si>
  <si>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</si>
  <si>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</si>
  <si>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</si>
  <si>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</si>
  <si>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</si>
  <si>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</si>
  <si>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</si>
  <si>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</si>
  <si>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</si>
  <si>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</si>
  <si>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</si>
  <si>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</si>
  <si>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</si>
  <si>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</si>
  <si>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</si>
  <si>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</si>
  <si>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</si>
  <si>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</si>
  <si>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</si>
  <si>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</si>
  <si>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</si>
  <si>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</si>
  <si>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</si>
  <si>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</si>
  <si>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</si>
  <si>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</si>
  <si>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</si>
  <si>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</si>
  <si>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</si>
  <si>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</si>
  <si>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</si>
  <si>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</si>
  <si>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</si>
  <si>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</si>
  <si>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</si>
  <si>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</si>
  <si>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</si>
  <si>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</si>
  <si>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</si>
  <si>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</si>
  <si>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</si>
  <si>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</si>
  <si>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</si>
  <si>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</si>
  <si>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</si>
  <si>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</si>
  <si>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</si>
  <si>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</si>
  <si>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</si>
  <si>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</si>
  <si>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</si>
  <si>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</si>
  <si>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</si>
  <si>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</si>
  <si>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</si>
  <si>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</si>
  <si>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</si>
  <si>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</si>
  <si>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</si>
  <si>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</si>
  <si>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</si>
  <si>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</si>
  <si>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</si>
  <si>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</si>
  <si>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</si>
  <si>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</si>
  <si>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</si>
  <si>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</si>
  <si>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</si>
  <si>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</si>
  <si>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</si>
  <si>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</si>
  <si>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</si>
  <si>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</si>
  <si>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</si>
  <si>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</si>
  <si>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</si>
  <si>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</si>
  <si>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Meta MC 2022: 350.000</t>
  </si>
  <si>
    <t>ajustado el 23sep2021</t>
  </si>
  <si>
    <t>https://servicios.turismo.gob.ec/entradas-y-salidas-internacionales</t>
  </si>
  <si>
    <t>META MC 2021: 350.000</t>
  </si>
  <si>
    <t>Metas Mi Ciudad 2022</t>
  </si>
  <si>
    <t>Fuente datos 2022</t>
  </si>
  <si>
    <t xml:space="preserve">Variación
 # turistas mes
2021-2022 (e)  </t>
  </si>
  <si>
    <t xml:space="preserve">Variación 
% mes 
2021-2022 (e)  </t>
  </si>
  <si>
    <t xml:space="preserve">Variación acumulada % 
2021-2022 (e)  </t>
  </si>
  <si>
    <t xml:space="preserve">2022 (e) </t>
  </si>
  <si>
    <t>1117 M</t>
  </si>
  <si>
    <t>409 mil</t>
  </si>
  <si>
    <t>USD (estimado) 2019</t>
  </si>
  <si>
    <t>Fuente: Banco Central del Ecuador, datos provisionales 2019; Cuentas Nacionales Regionales</t>
  </si>
  <si>
    <t>Fuente: Mintur; Turismo en cifras 2021 dato 2019</t>
  </si>
  <si>
    <t>Valor de ventas locales por actividad turística en el DMQ</t>
  </si>
  <si>
    <t>Variación porcentual interanual de veltas locales turísticas en el DMQ</t>
  </si>
  <si>
    <t>Millones de USD</t>
  </si>
  <si>
    <t>Fuente: SRI; elaborado desde QT con la SDPC</t>
  </si>
  <si>
    <t>Ventas locales turísticas en el DMQ</t>
  </si>
  <si>
    <t>Visitantes en Puntos de Información Turística del DMQ</t>
  </si>
  <si>
    <t>Variación porcentual interanual visitantes a Puntos de información</t>
  </si>
  <si>
    <t>Número visitantes</t>
  </si>
  <si>
    <t>Porcentaje</t>
  </si>
  <si>
    <t>TOTAL VISITANTES en puntos información DMQ</t>
  </si>
  <si>
    <t>EL QUINDE</t>
  </si>
  <si>
    <t>Visitantes a MUSEOS del DMQ</t>
  </si>
  <si>
    <t>Variación porcentual interanual visitantes a MUSEOS</t>
  </si>
  <si>
    <t>Fuente: Dirección de Desarrollo Quito Turismo</t>
  </si>
  <si>
    <t>Fuente: Dirección de Desarrollo Quito Turismo y Fundación Museos</t>
  </si>
  <si>
    <t>Valor recaudado por ventas locales en DMQ por actividades turísticas de acuerdo a datos del SRI</t>
  </si>
  <si>
    <t>Bi mensual</t>
  </si>
  <si>
    <t>15 días del bi mes</t>
  </si>
  <si>
    <t>Planificación y SDPC</t>
  </si>
  <si>
    <t>Número de visitantes que llegan a los puntos de información turística administrados por Quito Turismo</t>
  </si>
  <si>
    <t>15 días a cierre de mes</t>
  </si>
  <si>
    <t>Número de visitantes que llegan a la red de museos del DMQ</t>
  </si>
  <si>
    <t>2021 (e) Corte a la fecha</t>
  </si>
  <si>
    <t>Fuente: https://servicios.turismo.gob.ec/entradas-y-salidas-internacionales (al 25oct2021)</t>
  </si>
  <si>
    <t>real a la fecha</t>
  </si>
  <si>
    <t>Venezuela (republica Bolivariana de )</t>
  </si>
  <si>
    <t>China (República Popular)</t>
  </si>
  <si>
    <t>Fuente: Sistema Institucional de Indicadores Turísticos - 2015-2016: perfil agosto 2015-2016 - estimado al 2021</t>
  </si>
  <si>
    <t>Dato al 25/10/2021</t>
  </si>
  <si>
    <t>CENTRO DE ARTE CONTEMPORÁNEO</t>
  </si>
  <si>
    <t>Cumplido</t>
  </si>
  <si>
    <t>Pendiente</t>
  </si>
  <si>
    <t>TOTAL VISITANTES en museos descritos</t>
  </si>
  <si>
    <t>ARTE CONTEMPORÁNEO</t>
  </si>
  <si>
    <t>TOH 2021</t>
  </si>
  <si>
    <t>TOH 2020</t>
  </si>
  <si>
    <t xml:space="preserve">oct (e) </t>
  </si>
  <si>
    <t xml:space="preserve">nov (e) </t>
  </si>
  <si>
    <t xml:space="preserve">dic (e) </t>
  </si>
  <si>
    <t>UIO_EOH_anexo-SEP 2021.xlsm</t>
  </si>
  <si>
    <t>TOH - TASA DE OCUPACIÓN HOTELERA - DMQ</t>
  </si>
  <si>
    <t>EOH - Encuesta de Ocupación Hotelera</t>
  </si>
  <si>
    <t>INGRESOS POR ACTIVIDAD DE ALOJAMIENTO EN EL DMQ</t>
  </si>
  <si>
    <t>INGRESOS 2021</t>
  </si>
  <si>
    <t>INGRESOS 2020</t>
  </si>
  <si>
    <t xml:space="preserve">INGRESOS 2019 (e) </t>
  </si>
  <si>
    <t>BOH sep2021 EPNTECH</t>
  </si>
  <si>
    <t>Fuente: https://servicios.turismo.gob.ec/entradas-y-salidas-internacionales (03ene2022)</t>
  </si>
  <si>
    <t>Estimado 2022</t>
  </si>
  <si>
    <t xml:space="preserve">Participación 2022 (e) </t>
  </si>
  <si>
    <t>Resumen de datos de ingreso de Turistas al DMQ en feriados</t>
  </si>
  <si>
    <t>Datos</t>
  </si>
  <si>
    <t>Fuente</t>
  </si>
  <si>
    <t>Carnaval</t>
  </si>
  <si>
    <t>Semana Santa</t>
  </si>
  <si>
    <t>Día Trabajo</t>
  </si>
  <si>
    <t>Batalla Pichincha</t>
  </si>
  <si>
    <t>Grito de Independencia</t>
  </si>
  <si>
    <t>Independencia de GYE</t>
  </si>
  <si>
    <t>Finados</t>
  </si>
  <si>
    <t>Fiestas Quito</t>
  </si>
  <si>
    <t>Navidad</t>
  </si>
  <si>
    <t>Fin año</t>
  </si>
  <si>
    <t>SubTotales</t>
  </si>
  <si>
    <t>% variación anual</t>
  </si>
  <si>
    <t>+</t>
  </si>
  <si>
    <t>Turistas Internacionales no residentes</t>
  </si>
  <si>
    <t>SIIT - 2018.- datos de migración</t>
  </si>
  <si>
    <t>Pasajeros en Terminales terrestres</t>
  </si>
  <si>
    <t>EPMMOP Gerencia Terminales y Estacionamientos</t>
  </si>
  <si>
    <t>SIIT - 2019.- datos de migración</t>
  </si>
  <si>
    <t>SIIT - 2020</t>
  </si>
  <si>
    <t>Pasajeros en vuelos (AIMS) doméstico</t>
  </si>
  <si>
    <t>EMPSA</t>
  </si>
  <si>
    <t>Desfile Carnaval</t>
  </si>
  <si>
    <t>Urbana</t>
  </si>
  <si>
    <t>Rural</t>
  </si>
  <si>
    <t xml:space="preserve">Alojamiento: situación del turismo para su establecimiento actualmente </t>
  </si>
  <si>
    <t>Peor</t>
  </si>
  <si>
    <t>Igual</t>
  </si>
  <si>
    <t>Mejor</t>
  </si>
  <si>
    <t xml:space="preserve">Alimentos y Bebidas: situación del turismo para su establecimiento actualmente </t>
  </si>
  <si>
    <t xml:space="preserve">Zona Rural: situación del turismo para su establecimiento actualmente </t>
  </si>
  <si>
    <t xml:space="preserve">Zona Urbana: situación del turismo para su establecimiento actualmente </t>
  </si>
  <si>
    <t>Promedio</t>
  </si>
  <si>
    <t>Sumatoria</t>
  </si>
  <si>
    <t>Gasto promedio por pax (estimado)</t>
  </si>
  <si>
    <t>Variación 2018-2019</t>
  </si>
  <si>
    <t>Variación 2019-2020</t>
  </si>
  <si>
    <t>Variación 2020-2021</t>
  </si>
  <si>
    <t>Variación 2021-2022</t>
  </si>
  <si>
    <t>Feriado de CARNAVAL: número de llegadas INTERNACIONALES a la ciudad de Quito</t>
  </si>
  <si>
    <t>Feriado de CARNAVAL: número de ARRIBOS a la ciudad de Quito</t>
  </si>
  <si>
    <r>
      <t xml:space="preserve">2018 </t>
    </r>
    <r>
      <rPr>
        <b/>
        <vertAlign val="superscript"/>
        <sz val="11"/>
        <color rgb="FF000000"/>
        <rFont val="Calibri"/>
        <family val="2"/>
        <scheme val="minor"/>
      </rPr>
      <t>1/</t>
    </r>
  </si>
  <si>
    <t>Estimado 2020</t>
  </si>
  <si>
    <t>14-17 FEB</t>
  </si>
  <si>
    <t>06-09 FEB</t>
  </si>
  <si>
    <t>25-28 FEB</t>
  </si>
  <si>
    <t>10-13 FEB</t>
  </si>
  <si>
    <t>2-5 MAR</t>
  </si>
  <si>
    <t>22-25 febrero</t>
  </si>
  <si>
    <t>13-16FEB</t>
  </si>
  <si>
    <t>Arribo pasajeros</t>
  </si>
  <si>
    <t>25-28FEB</t>
  </si>
  <si>
    <t>Domestico</t>
  </si>
  <si>
    <t>Internacional</t>
  </si>
  <si>
    <t>Llegadas (No residentes)</t>
  </si>
  <si>
    <t>Terminal Quitumbe</t>
  </si>
  <si>
    <t>Terminal Carcelén</t>
  </si>
  <si>
    <t>Fuente: datos Migración 6-9FEB 2016</t>
  </si>
  <si>
    <t>Fuente: datos Migración 25-28FEB 2017</t>
  </si>
  <si>
    <t>Fuente: datos Migración 10-13FEB 2018</t>
  </si>
  <si>
    <t>Fuente: datos Migración 2-5MAR 2019</t>
  </si>
  <si>
    <t>Fuente: Quiport / Dirección MICE – Quito Turismo</t>
  </si>
  <si>
    <t xml:space="preserve">Fuente: EPMMOP Gerencia Terminales y Estacionamientos - 30ABR2019, of. 744-GTE-DTP-  SG1323
</t>
  </si>
  <si>
    <t>Fuente: Dirección de Desarrollo – Quito Turismo, 2021; EPMMOP Gerencia Terminales y Estacionamientos</t>
  </si>
  <si>
    <t>Promedio diario (4 días)</t>
  </si>
  <si>
    <t>fuente: MDMQ</t>
  </si>
  <si>
    <t>Feriado de Semana Santa: número de llegadas a TERMINALES INTERPROVINCIALES a la ciudad de Quito</t>
  </si>
  <si>
    <r>
      <t xml:space="preserve">2017 </t>
    </r>
    <r>
      <rPr>
        <b/>
        <vertAlign val="superscript"/>
        <sz val="11"/>
        <color rgb="FF000000"/>
        <rFont val="Calibri"/>
        <family val="2"/>
        <scheme val="minor"/>
      </rPr>
      <t>1/</t>
    </r>
  </si>
  <si>
    <t>30-31 mar, 1abr</t>
  </si>
  <si>
    <t>18-20 Abr</t>
  </si>
  <si>
    <t>10-12 ABR</t>
  </si>
  <si>
    <t>2-4 abrl</t>
  </si>
  <si>
    <t>2,3,4 ABR</t>
  </si>
  <si>
    <t>24,25,26 ABR</t>
  </si>
  <si>
    <t>13,14,15 ABR</t>
  </si>
  <si>
    <t>29,30,31 mar</t>
  </si>
  <si>
    <t>18-20 ABR</t>
  </si>
  <si>
    <t>Extranjero</t>
  </si>
  <si>
    <t>Doméstico</t>
  </si>
  <si>
    <t>Llegadas (No residentes) (3 DIAS)</t>
  </si>
  <si>
    <t>Fuente: SIIT 2017-2018 - datos Migración</t>
  </si>
  <si>
    <t>Fuente: SIIT 2019 - datos Migración</t>
  </si>
  <si>
    <t>Fuente: datos Operaciones Corporación Quiport / MICE QT 2021</t>
  </si>
  <si>
    <t>Fuente: EPMMOP Gerencia Terminales y Estacionamientos - 12ABR2019, of. 576-GTE-DTP-   SG1101</t>
  </si>
  <si>
    <t>Fuente: EPMMOP Gerencia Terminales y Estacionamientos - 30ABR2019, of. 744-GTE-DTP-  SG1323</t>
  </si>
  <si>
    <t>Procesión (# personas)</t>
  </si>
  <si>
    <t>Promedio diario (3 días)</t>
  </si>
  <si>
    <t>Feriado de DIA TRABAJO: número de llegadas INTERNACIONALES a la ciudad de Quito</t>
  </si>
  <si>
    <t>Feriado de DIA TRABAJO: número de llegadas a la ciudad de Quito</t>
  </si>
  <si>
    <t>30abr, 1may</t>
  </si>
  <si>
    <t>28-30abr,1may</t>
  </si>
  <si>
    <t>3-5 May</t>
  </si>
  <si>
    <t>1-3 Mayo</t>
  </si>
  <si>
    <t>30abr-02may</t>
  </si>
  <si>
    <t>2-3 may</t>
  </si>
  <si>
    <t>29-30 abr, 1may</t>
  </si>
  <si>
    <t>28-30abr, 1may</t>
  </si>
  <si>
    <t>2-5 May</t>
  </si>
  <si>
    <t>29abr-02may</t>
  </si>
  <si>
    <t>Fuente: datos Migración 30ABR y 01MAY 2016</t>
  </si>
  <si>
    <t>Fuente: datos Migración 28-30ABR y 01MAY 2017</t>
  </si>
  <si>
    <t>Fuente: datos Migración 28-30ABR y 01MAY 2018</t>
  </si>
  <si>
    <t>Fuente: EPMMOP Gerencia Terminales y Estacionami+entos - 12ABR2019, of. 576-GTE-DTP- 1101
Fuente: EPMMOP Gerencia Terminales y Estacionamientos - 30ABR2019, of. 744-GTE-DTP-  SG1323</t>
  </si>
  <si>
    <t>Fuente: EPMMOP Gerencia Terminales y Estacionami+entos - 12JUN2019, of. 1605-GTE-DTP- 1018</t>
  </si>
  <si>
    <t>Fuente: Dirección de Desarrollo  - Gerencia de terminales y estacionamientos - 2021</t>
  </si>
  <si>
    <t>Promedio diario (2 días)</t>
  </si>
  <si>
    <t>Feriado de BATALLA PICHINCHA: número de llegadas INTERNACIONALES a la ciudad de Quito</t>
  </si>
  <si>
    <t>Feriado de BATALLA PICHINCHA: número de llegadas a la ciudad de Quito</t>
  </si>
  <si>
    <t>21-24may</t>
  </si>
  <si>
    <t>26-28may</t>
  </si>
  <si>
    <t>25-27may</t>
  </si>
  <si>
    <t>23-25may</t>
  </si>
  <si>
    <t>21-24 mayo</t>
  </si>
  <si>
    <t>22-24may</t>
  </si>
  <si>
    <t>23-26may</t>
  </si>
  <si>
    <t>23-25 may</t>
  </si>
  <si>
    <t>Domésticos</t>
  </si>
  <si>
    <t>Internacionales</t>
  </si>
  <si>
    <t>Fuente: datos Migración 21-24MAY 2016</t>
  </si>
  <si>
    <t>Fuente: datos Migración 26-28MAY 2017</t>
  </si>
  <si>
    <t>Fuente: datos Migración 25-27MAY 2018</t>
  </si>
  <si>
    <t>Fuente: EPMMOP Gerencia Terminales y Estacionamientos - 12ABR2019, of. 576-GTE-DTP- 1101
Fuente: EPMMOP Gerencia Terminales y Estacionamientos - 30ABR2019, of. 744-GTE-DTP-  SG1323</t>
  </si>
  <si>
    <t>Feriado de 10 de Agosto: número de llegadas INTERNACIONALES a la ciudad de Quito</t>
  </si>
  <si>
    <t>Feriado de 10 AGOSTO GRITO INDEPENDENCIA: número de llegadas a la ciudad de Quito</t>
  </si>
  <si>
    <t>11-14 Ago</t>
  </si>
  <si>
    <t>10-13 ago</t>
  </si>
  <si>
    <t>09-12 ago</t>
  </si>
  <si>
    <t>08-10 Ago</t>
  </si>
  <si>
    <t>7-10 Ago</t>
  </si>
  <si>
    <t>6-9 Ago</t>
  </si>
  <si>
    <t>10-13 Ago</t>
  </si>
  <si>
    <t>09-12 Ago</t>
  </si>
  <si>
    <t>Fuente: datos Migración 11-14 Ago 2016</t>
  </si>
  <si>
    <t>Fuente: datos Migración 10-13 Ago 2017</t>
  </si>
  <si>
    <t>Fuente: datos Migración 09-12 Ago 2018</t>
  </si>
  <si>
    <t>Fuente: datos Operaciones Corporación Quiport AGO2020</t>
  </si>
  <si>
    <t>Fuente: EPMMOP; Terminales; of. 2031-GTE-DTP; 10SEP2018</t>
  </si>
  <si>
    <t>oficio No. EPMMOP-GG-0453-2019-OF-17sep2019</t>
  </si>
  <si>
    <t>Fuente: Dir. Desarrollo Chat ago2020</t>
  </si>
  <si>
    <t>Fuente: Dir. Desarrollo 2021</t>
  </si>
  <si>
    <t>Peaje / Contador</t>
  </si>
  <si>
    <t>Ingresos
2020</t>
  </si>
  <si>
    <t>Salidas 
2020</t>
  </si>
  <si>
    <t>Diferencia Ingresos y Salidas</t>
  </si>
  <si>
    <t>Ingresos</t>
  </si>
  <si>
    <t xml:space="preserve">Salidas </t>
  </si>
  <si>
    <t>8-10 Ago</t>
  </si>
  <si>
    <t>Peaje de Machachi</t>
  </si>
  <si>
    <t>Contador Calacalí</t>
  </si>
  <si>
    <t>Peaje Aloag</t>
  </si>
  <si>
    <t>Peaje de Oyacoto</t>
  </si>
  <si>
    <t>Feriado de Independencia de Guayaquil: número de llegadas Domesticas e INTERNACIONALES a la ciudad de Quito</t>
  </si>
  <si>
    <t>Feriado de Independencia de Guayaquil: número de llegadas a TERMINALES INTERPROVINCIALES a la ciudad de Quito</t>
  </si>
  <si>
    <t>08-11oct</t>
  </si>
  <si>
    <t>08-10oct</t>
  </si>
  <si>
    <t>07-10oct</t>
  </si>
  <si>
    <t>Salidas 
(08-11oct-2020)</t>
  </si>
  <si>
    <t>Llegadas
(08-11oct-2020)</t>
  </si>
  <si>
    <t>Salidas de pasajeros
(07-10oct-2020)</t>
  </si>
  <si>
    <t>Llegadas de pasajeros
(07-10oct-2020)</t>
  </si>
  <si>
    <t xml:space="preserve">Salidas de pasajeros
</t>
  </si>
  <si>
    <t xml:space="preserve">Llegadas de pasajeros
</t>
  </si>
  <si>
    <t>(AIMS)</t>
  </si>
  <si>
    <t>diferencia LLvsSA</t>
  </si>
  <si>
    <t>% de llegadas vs Salidas</t>
  </si>
  <si>
    <t xml:space="preserve">Datos de EMPSA vía email de miguel.flores@aeropuertoquito.gob.ec; del 12oct2020 </t>
  </si>
  <si>
    <t>Fuente: EPMMOP Terminales Of. Nro. 0730-EPMMOP-GTE-2020-OF; 11octubre2020</t>
  </si>
  <si>
    <t>Fuente: EPMMOP Terminales Of. Nro. 1115-EPMMOP-GTE-2021-OF; 15octubre2021</t>
  </si>
  <si>
    <t>% de variación interanual</t>
  </si>
  <si>
    <t>Feriado de Finados e Independencia de Cuenca: número de llegadas Domésticas e INTERNACIONALES a la ciudad de Quito</t>
  </si>
  <si>
    <t>Feriado de Finados e Independencia de Cuenca: número de llegadas a TERMINALES INTERPROVINCIALES a la ciudad de Quito</t>
  </si>
  <si>
    <t>2-5 nov</t>
  </si>
  <si>
    <t>1-4 nov</t>
  </si>
  <si>
    <t>31Oct-3nov</t>
  </si>
  <si>
    <t>30oct-03nov</t>
  </si>
  <si>
    <t xml:space="preserve">1-4 nov </t>
  </si>
  <si>
    <t>1 - 4 nov</t>
  </si>
  <si>
    <t>29OCT-03NOV2021</t>
  </si>
  <si>
    <t>Estimado en base a% crecimeitno a la fecha</t>
  </si>
  <si>
    <t>Fuente: EPMMOP Terminales of. 2640-GTE-DTP   SG4082  23NOV2018</t>
  </si>
  <si>
    <t>Fuente: oficio No. EPMMOP-2221-GTE-DTP-DE; 12DIC2019</t>
  </si>
  <si>
    <t>Fuente:Gerente de terminales y estacionamientos - Oficio Nro. 0819-EPMMOP-GTE-2020-OF; 04 de noviembre de 2020 ; 04nov2020</t>
  </si>
  <si>
    <t>Promedio diario (4 días) Internacional</t>
  </si>
  <si>
    <t>Promedio diario (4 días) doméstico</t>
  </si>
  <si>
    <t>Fuente: EMPSA; QUIPORT ; Dirección MICE, 2021</t>
  </si>
  <si>
    <t>Feriado de FIESTAS DE QUITO: número de llegadas INTERNACIONALES a la ciudad de Quito</t>
  </si>
  <si>
    <t>Feriado de FIESTAS DE QUITO: número de llegadas a TERMINALES INTERPROVINCIALES a la ciudad de Quito</t>
  </si>
  <si>
    <t>1-6 dic</t>
  </si>
  <si>
    <t>5-10 dic</t>
  </si>
  <si>
    <t>4-9 dic</t>
  </si>
  <si>
    <t>5-8 dic</t>
  </si>
  <si>
    <t>4-7 dic</t>
  </si>
  <si>
    <t>2-6 dic</t>
  </si>
  <si>
    <t>4-6 dic</t>
  </si>
  <si>
    <t>3-6 dic</t>
  </si>
  <si>
    <t>8-10dic</t>
  </si>
  <si>
    <t>7-9 dic</t>
  </si>
  <si>
    <t>5-7 dic</t>
  </si>
  <si>
    <t>2-6dic</t>
  </si>
  <si>
    <t>Promedio diario (5 días)</t>
  </si>
  <si>
    <t>Promedio diario (6 días)</t>
  </si>
  <si>
    <t>Fuente: EMPSA; QUIPORT ; Dirección MICE, 2020</t>
  </si>
  <si>
    <t>Gasto internacional</t>
  </si>
  <si>
    <t>Gasto Nacional</t>
  </si>
  <si>
    <t>Internacional + nacional total gasto</t>
  </si>
  <si>
    <t>Feriado de Navidad: número de llegadas INTERNACIONALES a la ciudad de Quito</t>
  </si>
  <si>
    <t>Feriado de Navidad: número de llegadas a TERMINALES INTERPROVINCIALES a la ciudad de Quito</t>
  </si>
  <si>
    <t>23-26dic</t>
  </si>
  <si>
    <t>Promedio diario (días)</t>
  </si>
  <si>
    <t>Feriado de Fin de Año: número de llegadas INTERNACIONALES a la ciudad de Quito</t>
  </si>
  <si>
    <t>Feriado de Fin de Año: número de llegadas a TERMINALES INTERPROVINCIALES a la ciudad de Quito</t>
  </si>
  <si>
    <t>30dic-02ene</t>
  </si>
  <si>
    <t>Visitantes 2018</t>
  </si>
  <si>
    <t>Visitantes 2019</t>
  </si>
  <si>
    <t>Visitantes 2020</t>
  </si>
  <si>
    <t>Visitantes 2021</t>
  </si>
  <si>
    <t>Visitantes 2022</t>
  </si>
  <si>
    <t>Gasto promedio 2018</t>
  </si>
  <si>
    <t>Gasto promedio 2019</t>
  </si>
  <si>
    <t>Gasto promedio 2020</t>
  </si>
  <si>
    <t>Gasto promedio 2021</t>
  </si>
  <si>
    <t>Gasto promedio 2022</t>
  </si>
  <si>
    <t>Navidad y Fin de Año</t>
  </si>
  <si>
    <t>BOH OCT2021 EPNTECH</t>
  </si>
  <si>
    <t>ajustado el 25ene2022</t>
  </si>
  <si>
    <t>EOH oct 2021</t>
  </si>
  <si>
    <t>1,,15</t>
  </si>
  <si>
    <t>EOH OCT 2021</t>
  </si>
  <si>
    <t>ARRIVING 2022</t>
  </si>
  <si>
    <t>VARIATION 2021-2020</t>
  </si>
  <si>
    <t>VARIATION 2022-2021</t>
  </si>
  <si>
    <t>Variación arribos internacionales 
2021-2022</t>
  </si>
  <si>
    <t>Variación arribos domésticos
2021-2022</t>
  </si>
  <si>
    <t>2022 Respecto al 2021</t>
  </si>
  <si>
    <t>Total 2022</t>
  </si>
  <si>
    <t>Fuente: Dir. Desarrollo; email.- 16feb2022</t>
  </si>
  <si>
    <t>Pax diarios 2022</t>
  </si>
  <si>
    <t>AÑO 2021</t>
  </si>
  <si>
    <t>ENERO 2022</t>
  </si>
  <si>
    <t>ENERO AÑO 2022</t>
  </si>
  <si>
    <t xml:space="preserve">ACTIVIDADES EDUCATIVAS Y RECORRIDOS POR LOS ESPACIS GRATUITOS DEL MUSEO:LOCUTORIA,TORNO Y PORTERÍA ESTERNA POR LAS OBRAS DE LUIS RUÍZ Y VÍCTO MIDEROS </t>
  </si>
  <si>
    <t xml:space="preserve">ACTIVACIÓN ATRIO Y ALMACEN-MONASTERIO DEL CARMEN ALTO </t>
  </si>
  <si>
    <t>MIC-ENTRADA MUNDO CIRCO</t>
  </si>
  <si>
    <t>VELADAS ASTRONOMICAS</t>
  </si>
  <si>
    <t>EVENTOS</t>
  </si>
  <si>
    <t>ACTIVIDADES COMUNITARIAS</t>
  </si>
  <si>
    <t>ACTIVIDADES COMUNITARIAS VIRTUALES</t>
  </si>
  <si>
    <t>ACTIVIDADES EDUCATIVAS VIRTUALES</t>
  </si>
  <si>
    <t xml:space="preserve">ACTIVIDADES EDUCATIVAS </t>
  </si>
  <si>
    <t xml:space="preserve">ACTIVIDADES EDUCATIVAS Y RECORRIDOS POR LOS ESPACIOS GRATUITOS DEL MUSEO:LOCUTORIA,TORNO Y PORTERÍA ESTERNA POR LAS OBRAS DE LUIS RUÍZ Y VÍCTO MIDEROS </t>
  </si>
  <si>
    <t>Fuente: Sistema Institucional de Indicadores Turísticos - 2022</t>
  </si>
  <si>
    <t>12-16FEB</t>
  </si>
  <si>
    <t xml:space="preserve">Gasto Turístico estimado </t>
  </si>
  <si>
    <t>25feb-01mar</t>
  </si>
  <si>
    <t>Variación 2022 vs. 2021</t>
  </si>
  <si>
    <t>positivo</t>
  </si>
  <si>
    <t>Fuente: Quiport/EMPSA; la EPMMOP Gerencia Terminales y Estacionamientos;y analizado por Quito Turismo SIIT 2022</t>
  </si>
  <si>
    <r>
      <t xml:space="preserve">Gasto promedio diario 
</t>
    </r>
    <r>
      <rPr>
        <sz val="9"/>
        <color theme="1"/>
        <rFont val="Calibri"/>
        <family val="2"/>
        <scheme val="minor"/>
      </rPr>
      <t xml:space="preserve">(estimado por persona) </t>
    </r>
  </si>
  <si>
    <r>
      <t xml:space="preserve"># visitantes no residentes 
</t>
    </r>
    <r>
      <rPr>
        <sz val="9"/>
        <color theme="1"/>
        <rFont val="Calibri"/>
        <family val="2"/>
        <scheme val="minor"/>
      </rPr>
      <t>(terminales terrestres y aeropuerto)</t>
    </r>
  </si>
  <si>
    <t>26feb-01mar</t>
  </si>
  <si>
    <r>
      <t xml:space="preserve"># visitantes no residentes 
</t>
    </r>
    <r>
      <rPr>
        <sz val="9"/>
        <color theme="1"/>
        <rFont val="Calibri"/>
        <family val="2"/>
        <scheme val="minor"/>
      </rPr>
      <t>(terminales terrestres)</t>
    </r>
  </si>
  <si>
    <t>$60 nacionales
$ 100 internacionales</t>
  </si>
  <si>
    <t>$60 nacionales</t>
  </si>
  <si>
    <t>$100 promedio</t>
  </si>
  <si>
    <t>$100 internacionales</t>
  </si>
  <si>
    <r>
      <t xml:space="preserve"># visitantes no residentes 
</t>
    </r>
    <r>
      <rPr>
        <sz val="9"/>
        <color theme="1"/>
        <rFont val="Calibri"/>
        <family val="2"/>
        <scheme val="minor"/>
      </rPr>
      <t>(aeropuerto)</t>
    </r>
  </si>
  <si>
    <t>Llegadas turistas</t>
  </si>
  <si>
    <t>Variación  2021-2022
(estimado)</t>
  </si>
  <si>
    <t>Participación 2021</t>
  </si>
  <si>
    <t>Variación  2019-2022
(estimado)</t>
  </si>
  <si>
    <t xml:space="preserve">Cumplido (e) </t>
  </si>
  <si>
    <t xml:space="preserve">Pendiente (e) </t>
  </si>
  <si>
    <t>HQM boletin 73: Indicadoresde la Actividad HoteleraHoteles de 5* y 4* -Quito INFORME MENSUAL Y ACUMULADOFEBRERO 2022 vs. FEBRERO 2021Elab</t>
  </si>
  <si>
    <t xml:space="preserve">HQM </t>
  </si>
  <si>
    <t>comparado con 2019</t>
  </si>
  <si>
    <t>Feriado de Semana Santa: número de llegadas INTERNACIONALES a la ciudad de Quito (arribos en aeropuerto internacional)</t>
  </si>
  <si>
    <t>15-17 abril</t>
  </si>
  <si>
    <t>$60 promedio</t>
  </si>
  <si>
    <t>Fuente: https://servicios.turismo.gob.ec/entradas-y-salidas-internacionales (al 13ABR2022)</t>
  </si>
  <si>
    <t>% ejecutado MC</t>
  </si>
  <si>
    <t xml:space="preserve">Gasto Nacional </t>
  </si>
  <si>
    <t>Gasto Internacional</t>
  </si>
  <si>
    <t>Gasto promedio total</t>
  </si>
  <si>
    <t>Fuente: Dirección de Desarrollo  - Gerencia de terminales y estacionamientos - 2022</t>
  </si>
  <si>
    <t>Fuente: datos Operaciones Corporación Quiport / MICE QT 2022</t>
  </si>
  <si>
    <t>Variaciones interanuales</t>
  </si>
  <si>
    <t>ajustado el 12may2022</t>
  </si>
  <si>
    <t>Fuente: Datos Mintur ABR2019: http://servicios.turismo.gob.ec/index.php/turismo-cifras/2018-09-19-17-01-51/movimientos-internacionales
Fuente: Datos Mintur MAR2020: 
https://servicios.turismo.gob.ec/index.php/turismo-cifras/2018-09-19-17-01-51/movimientos-internacionales
Fuente: MINTUR oct2021 datos 2020: https://servicios.turismo.gob.ec/entradas-y-salidas-internacionales
Fuente 2021: MinTur 12may2022: https://servicios.turismo.gob.ec/entradas-y-salidas-internacionales</t>
  </si>
  <si>
    <t>2022 (estimado) total</t>
  </si>
  <si>
    <t>datos al 12mayo2022</t>
  </si>
  <si>
    <t>2022 (a la fecha)</t>
  </si>
  <si>
    <t>3* (estimación promedial 5 datos)</t>
  </si>
  <si>
    <t>5* HQM</t>
  </si>
  <si>
    <t>4* HQM</t>
  </si>
  <si>
    <t>HQM boletin 75: Indicadoresde la Actividad HoteleraHoteles de 5* y 4* -Quito INFORME MENSUAL Y ACUMULADO ABRIL2022</t>
  </si>
  <si>
    <t>Dato 2018: Estimado en base a datos históricos
Fuente SIIT2019-2021 Qutito Turismo; EOH 2020 y 2021
Fuente: Mintur; HQM; SIIT QT
fuente 2022: HQM boletines</t>
  </si>
  <si>
    <t xml:space="preserve">Tasa de Ocupación Hotelera (TOH) en DMQ 
</t>
  </si>
  <si>
    <t xml:space="preserve">TOH categoría 5 estrellas 
</t>
  </si>
  <si>
    <t xml:space="preserve">TOH categoría 4 estrellas 
</t>
  </si>
  <si>
    <t xml:space="preserve">TOH categoría 3 estrellas 
</t>
  </si>
  <si>
    <t xml:space="preserve">Tarifa habitación ocupada en el DMQ
</t>
  </si>
  <si>
    <t xml:space="preserve">Tarifa en categoría 5 estrellas
</t>
  </si>
  <si>
    <t xml:space="preserve">Tarifa en categoría 4 estrellas
</t>
  </si>
  <si>
    <t xml:space="preserve">tarifa en categoría 3 estrellas
</t>
  </si>
  <si>
    <t xml:space="preserve">Estancia promedio en Hoteles de 5 estrellas
</t>
  </si>
  <si>
    <t xml:space="preserve">Estancia promedio en Hoteles del DMQ
</t>
  </si>
  <si>
    <t xml:space="preserve">Estancia promedio en Hoteles de 4 estrellas
</t>
  </si>
  <si>
    <t xml:space="preserve">Estancia promedio en Hoteles de 3 estrellas
</t>
  </si>
  <si>
    <t xml:space="preserve">Estimado en base a promedio de 5 datos históricos) </t>
  </si>
  <si>
    <t>HQM 73IAH</t>
  </si>
  <si>
    <t>HQM 75 IAH</t>
  </si>
  <si>
    <t>HQM 73 IAH</t>
  </si>
  <si>
    <t>HQM 71 IAH</t>
  </si>
  <si>
    <t>HQM 69 IAH</t>
  </si>
  <si>
    <t>a la fecha</t>
  </si>
  <si>
    <t>HQM boletines IAH 75: Indicadores de la Actividad Hotelera Hoteles de 5* y 4* -Quito INFORME MENSUAL Y ACUMULADO ABRIL2022</t>
  </si>
  <si>
    <t>Proyectado en base a 5 datos históricos</t>
  </si>
  <si>
    <t>datos a mayo 2022 - estimación a dic 2022
doc: QT-afectación_Ventas_2021-vr.03mayo2022.xlsx</t>
  </si>
  <si>
    <t>2022 (e) Corte a la fecha</t>
  </si>
  <si>
    <t>estimado con HQM</t>
  </si>
  <si>
    <t>TOTAL (promedial 4* y 5*) HQM</t>
  </si>
  <si>
    <t>Dato al 30 de mayo de 2022</t>
  </si>
  <si>
    <t>participacion 2022</t>
  </si>
  <si>
    <t>Dato al 30 MAYO 2022  Dir, Calidad; email 13may2022</t>
  </si>
  <si>
    <t>FUENTE: SICET, corte a may  2022</t>
  </si>
  <si>
    <t>Empleos directos afectados por pandemia 2021-2022</t>
  </si>
  <si>
    <t>Participación</t>
  </si>
  <si>
    <t>Establecimientos por actividad económica turística en el DMQ</t>
  </si>
  <si>
    <t>Actividad Económica Turística</t>
  </si>
  <si>
    <t xml:space="preserve">Afectación anula: </t>
  </si>
  <si>
    <t>Fuente: Datos Sistema Indicadores UIO TUR. 2022</t>
  </si>
  <si>
    <t>Fuente SIIT2019-2021 Qutito Turismo; EOH 2020 y 2021 ((datos 2020: SIIT QT - 4x4 EOH)); HQM datos 2022</t>
  </si>
  <si>
    <t>Fuente: Quito Turismo; Dirección de Calidad; Dato AL30mayo2022; email.-13mayo2022;</t>
  </si>
  <si>
    <t>uente: Quito Turismo; Dirección de Calidad; Dato AL30mayo2022; email.-13mayo2022;</t>
  </si>
  <si>
    <t>Elaborado y consolidado: Jefatura de Planificación - Quito Turismo. RB 17may2022</t>
  </si>
  <si>
    <t>% de variación respecto año anterior</t>
  </si>
  <si>
    <t xml:space="preserve">Fuente: Estadísticas Quiport, operador del AIMS </t>
  </si>
  <si>
    <t>a MARZO</t>
  </si>
  <si>
    <t>20-23 mayo</t>
  </si>
  <si>
    <t>Visitantes no residentes</t>
  </si>
  <si>
    <t>METAS nuevas CIUDAD 2022</t>
  </si>
  <si>
    <t>Variación con 2019</t>
  </si>
  <si>
    <t>Grito de la Independencia</t>
  </si>
  <si>
    <t>Independencia GYE</t>
  </si>
  <si>
    <t>Fiestas de Quito</t>
  </si>
  <si>
    <t>Fin de Año</t>
  </si>
  <si>
    <t>ene-may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</si>
</sst>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 numFmtId="184" formatCode="_-* #,##0.00\ _$_-;\-* #,##0.00\ _$_-;_-* &quot;-&quot;??\ _$_-;_-@_-"/>
    <numFmt numFmtId="185" formatCode="_(&quot;$&quot;\ * #,##0_);_(&quot;$&quot;\ * \(#,##0\);_(&quot;$&quot;\ * &quot;-&quot;??_);_(@_)"/>
  </numFmts>
  <fonts count="318">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theme="3" tint="0.39997558519241921"/>
      <name val="Calibri"/>
      <family val="2"/>
      <scheme val="minor"/>
    </font>
    <font>
      <sz val="8"/>
      <color theme="3" tint="0.3999755851924192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
      <b/>
      <sz val="12"/>
      <color rgb="FF00B050"/>
      <name val="Calibri"/>
      <family val="2"/>
      <scheme val="minor"/>
    </font>
    <font>
      <b/>
      <sz val="16"/>
      <color rgb="FF00B050"/>
      <name val="Calibri"/>
      <family val="2"/>
      <scheme val="minor"/>
    </font>
    <font>
      <b/>
      <u/>
      <sz val="6"/>
      <color theme="10"/>
      <name val="Calibri"/>
      <family val="2"/>
    </font>
    <font>
      <b/>
      <sz val="7"/>
      <color theme="7" tint="-0.499984740745262"/>
      <name val="Calibri"/>
      <family val="2"/>
      <scheme val="minor"/>
    </font>
    <font>
      <sz val="7"/>
      <color theme="7" tint="-0.249977111117893"/>
      <name val="Calibri"/>
      <family val="2"/>
      <scheme val="minor"/>
    </font>
    <font>
      <b/>
      <sz val="7"/>
      <color theme="7" tint="-0.249977111117893"/>
      <name val="Calibri"/>
      <family val="2"/>
      <scheme val="minor"/>
    </font>
    <font>
      <b/>
      <sz val="8"/>
      <color theme="1"/>
      <name val="Arial"/>
      <family val="2"/>
    </font>
    <font>
      <b/>
      <i/>
      <sz val="11"/>
      <color rgb="FF44546A"/>
      <name val="Calibri"/>
      <family val="2"/>
      <scheme val="minor"/>
    </font>
    <font>
      <b/>
      <i/>
      <sz val="11"/>
      <color rgb="FF00B050"/>
      <name val="Calibri"/>
      <family val="2"/>
      <scheme val="minor"/>
    </font>
    <font>
      <b/>
      <vertAlign val="superscript"/>
      <sz val="11"/>
      <color rgb="FF000000"/>
      <name val="Calibri"/>
      <family val="2"/>
      <scheme val="minor"/>
    </font>
    <font>
      <sz val="11"/>
      <color theme="4"/>
      <name val="Calibri"/>
      <family val="2"/>
      <scheme val="minor"/>
    </font>
    <font>
      <i/>
      <sz val="8"/>
      <color rgb="FF44546A"/>
      <name val="Calibri"/>
      <family val="2"/>
      <scheme val="minor"/>
    </font>
    <font>
      <sz val="8"/>
      <color rgb="FF00B050"/>
      <name val="Calibri"/>
      <family val="2"/>
      <scheme val="minor"/>
    </font>
    <font>
      <sz val="6"/>
      <color rgb="FF00B050"/>
      <name val="Calibri"/>
      <family val="2"/>
      <scheme val="minor"/>
    </font>
    <font>
      <i/>
      <sz val="8"/>
      <color rgb="FF00B050"/>
      <name val="Calibri"/>
      <family val="2"/>
      <scheme val="minor"/>
    </font>
    <font>
      <b/>
      <sz val="8"/>
      <color rgb="FF000000"/>
      <name val="Calibri"/>
      <family val="2"/>
      <scheme val="minor"/>
    </font>
    <font>
      <b/>
      <sz val="9"/>
      <color rgb="FF000000"/>
      <name val="Calibri"/>
      <family val="2"/>
      <scheme val="minor"/>
    </font>
    <font>
      <sz val="9"/>
      <color rgb="FF000000"/>
      <name val="Calibri"/>
      <family val="2"/>
      <scheme val="minor"/>
    </font>
    <font>
      <sz val="9"/>
      <color rgb="FF0070C0"/>
      <name val="Calibri"/>
      <family val="2"/>
      <scheme val="minor"/>
    </font>
    <font>
      <b/>
      <sz val="8"/>
      <color rgb="FF00B050"/>
      <name val="Calibri"/>
      <family val="2"/>
      <scheme val="minor"/>
    </font>
    <font>
      <b/>
      <sz val="8"/>
      <color rgb="FFC00000"/>
      <name val="Arial"/>
      <family val="2"/>
    </font>
    <font>
      <b/>
      <sz val="7"/>
      <color rgb="FFC00000"/>
      <name val="Arial"/>
      <family val="2"/>
    </font>
    <font>
      <sz val="8"/>
      <color rgb="FFC00000"/>
      <name val="Arial"/>
      <family val="2"/>
    </font>
    <font>
      <sz val="11"/>
      <color theme="1"/>
      <name val="Calibri Light"/>
      <family val="2"/>
    </font>
    <font>
      <b/>
      <sz val="11"/>
      <color theme="1"/>
      <name val="Calibri"/>
      <family val="2"/>
    </font>
    <font>
      <b/>
      <sz val="11"/>
      <name val="Calibri"/>
      <family val="2"/>
    </font>
    <font>
      <b/>
      <sz val="11"/>
      <color theme="0"/>
      <name val="Calibri Light"/>
      <family val="2"/>
    </font>
    <font>
      <b/>
      <sz val="11"/>
      <name val="Calibri Light"/>
      <family val="2"/>
    </font>
    <font>
      <b/>
      <sz val="11"/>
      <color theme="1"/>
      <name val="Calibri Light"/>
      <family val="2"/>
    </font>
    <font>
      <b/>
      <sz val="6"/>
      <color theme="7" tint="-0.499984740745262"/>
      <name val="Calibri"/>
      <family val="2"/>
      <scheme val="minor"/>
    </font>
    <font>
      <b/>
      <sz val="7"/>
      <color rgb="FFC00000"/>
      <name val="Calibri"/>
      <family val="2"/>
      <scheme val="minor"/>
    </font>
    <font>
      <b/>
      <sz val="6"/>
      <name val="Calibri"/>
      <family val="2"/>
      <scheme val="minor"/>
    </font>
    <font>
      <b/>
      <sz val="8"/>
      <color indexed="48"/>
      <name val="Calibri"/>
      <family val="2"/>
      <scheme val="minor"/>
    </font>
    <font>
      <b/>
      <sz val="8"/>
      <color theme="4" tint="-0.499984740745262"/>
      <name val="Calibri"/>
      <family val="2"/>
      <scheme val="minor"/>
    </font>
    <font>
      <b/>
      <sz val="8"/>
      <color theme="3" tint="-0.499984740745262"/>
      <name val="Calibri"/>
      <family val="2"/>
      <scheme val="minor"/>
    </font>
    <font>
      <b/>
      <sz val="8"/>
      <color indexed="56"/>
      <name val="Calibri"/>
      <family val="2"/>
      <scheme val="minor"/>
    </font>
    <font>
      <b/>
      <sz val="8"/>
      <color indexed="12"/>
      <name val="Calibri"/>
      <family val="2"/>
      <scheme val="minor"/>
    </font>
    <font>
      <sz val="8"/>
      <color theme="3" tint="-0.499984740745262"/>
      <name val="Calibri"/>
      <family val="2"/>
      <scheme val="minor"/>
    </font>
    <font>
      <i/>
      <sz val="9"/>
      <color theme="1"/>
      <name val="Calibri"/>
      <family val="2"/>
      <scheme val="minor"/>
    </font>
    <font>
      <b/>
      <sz val="6"/>
      <color theme="1"/>
      <name val="Calibri"/>
      <family val="2"/>
      <scheme val="minor"/>
    </font>
    <font>
      <sz val="6"/>
      <color theme="3" tint="0.39997558519241921"/>
      <name val="Calibri"/>
      <family val="2"/>
      <scheme val="minor"/>
    </font>
    <font>
      <sz val="6"/>
      <color rgb="FFFF0000"/>
      <name val="Calibri"/>
      <family val="2"/>
      <scheme val="minor"/>
    </font>
    <font>
      <i/>
      <sz val="6"/>
      <color theme="1"/>
      <name val="Calibri"/>
      <family val="2"/>
      <scheme val="minor"/>
    </font>
    <font>
      <b/>
      <sz val="7"/>
      <color theme="0" tint="-0.249977111117893"/>
      <name val="Calibri"/>
      <family val="2"/>
      <scheme val="minor"/>
    </font>
    <font>
      <u/>
      <sz val="10"/>
      <color theme="0" tint="-0.34998626667073579"/>
      <name val="Calibri"/>
      <family val="2"/>
    </font>
    <font>
      <b/>
      <u/>
      <sz val="10"/>
      <color theme="0" tint="-0.34998626667073579"/>
      <name val="Calibri"/>
      <family val="2"/>
    </font>
    <font>
      <b/>
      <sz val="10"/>
      <color theme="0" tint="-0.34998626667073579"/>
      <name val="Calibri"/>
      <family val="2"/>
      <scheme val="minor"/>
    </font>
  </fonts>
  <fills count="13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
      <patternFill patternType="solid">
        <fgColor theme="6"/>
        <bgColor indexed="64"/>
      </patternFill>
    </fill>
    <fill>
      <patternFill patternType="solid">
        <fgColor rgb="FFF2F2F2"/>
        <bgColor indexed="64"/>
      </patternFill>
    </fill>
    <fill>
      <patternFill patternType="solid">
        <fgColor theme="4" tint="0.39991454817346722"/>
        <bgColor indexed="64"/>
      </patternFill>
    </fill>
    <fill>
      <patternFill patternType="solid">
        <fgColor theme="5" tint="0.79995117038483843"/>
        <bgColor indexed="64"/>
      </patternFill>
    </fill>
    <fill>
      <patternFill patternType="solid">
        <fgColor theme="4" tint="0.39994506668294322"/>
        <bgColor indexed="64"/>
      </patternFill>
    </fill>
    <fill>
      <patternFill patternType="solid">
        <fgColor theme="7" tint="0.39997558519241921"/>
        <bgColor indexed="26"/>
      </patternFill>
    </fill>
  </fills>
  <borders count="440">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thin">
        <color theme="0" tint="-0.249977111117893"/>
      </top>
      <bottom style="thin">
        <color theme="0" tint="-0.24994659260841701"/>
      </bottom>
      <diagonal/>
    </border>
    <border>
      <left style="thin">
        <color theme="0" tint="-0.24994659260841701"/>
      </left>
      <right style="medium">
        <color indexed="64"/>
      </right>
      <top style="thin">
        <color theme="0" tint="-0.249977111117893"/>
      </top>
      <bottom style="medium">
        <color indexed="64"/>
      </bottom>
      <diagonal/>
    </border>
    <border>
      <left/>
      <right style="medium">
        <color indexed="64"/>
      </right>
      <top/>
      <bottom style="double">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bottom/>
      <diagonal/>
    </border>
    <border>
      <left style="medium">
        <color auto="1"/>
      </left>
      <right style="thick">
        <color auto="1"/>
      </right>
      <top style="medium">
        <color auto="1"/>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theme="0" tint="-0.249977111117893"/>
      </left>
      <right style="medium">
        <color theme="0" tint="-0.249977111117893"/>
      </right>
      <top style="thin">
        <color theme="0" tint="-0.249977111117893"/>
      </top>
      <bottom/>
      <diagonal/>
    </border>
    <border>
      <left style="medium">
        <color indexed="64"/>
      </left>
      <right style="thin">
        <color theme="0" tint="-0.249977111117893"/>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diagonal/>
    </border>
  </borders>
  <cellStyleXfs count="112">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77" fillId="0" borderId="0"/>
    <xf numFmtId="43" fontId="1" fillId="0" borderId="0" applyFont="0" applyFill="0" applyBorder="0" applyAlignment="0" applyProtection="0"/>
    <xf numFmtId="18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0" borderId="0" applyNumberFormat="0" applyFill="0" applyBorder="0" applyAlignment="0" applyProtection="0">
      <alignment vertical="top"/>
      <protection locked="0"/>
    </xf>
    <xf numFmtId="166" fontId="1" fillId="0" borderId="0" applyFont="0" applyFill="0" applyBorder="0" applyAlignment="0" applyProtection="0"/>
    <xf numFmtId="43" fontId="1" fillId="0" borderId="0" applyFont="0" applyFill="0" applyBorder="0" applyAlignment="0" applyProtection="0"/>
  </cellStyleXfs>
  <cellXfs count="5800">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9" fontId="5" fillId="0" borderId="0" xfId="2" applyFont="1" applyFill="1"/>
    <xf numFmtId="168" fontId="5" fillId="0" borderId="257" xfId="1" applyNumberFormat="1" applyFont="1" applyFill="1" applyBorder="1" applyAlignment="1">
      <alignment horizontal="center" vertical="center"/>
    </xf>
    <xf numFmtId="0" fontId="10" fillId="0" borderId="0" xfId="0" applyFont="1" applyFill="1"/>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269" xfId="23" applyFont="1" applyBorder="1" applyAlignment="1">
      <alignment horizontal="left" vertical="top" wrapText="1" indent="1"/>
    </xf>
    <xf numFmtId="3" fontId="68" fillId="0" borderId="270" xfId="23" applyNumberFormat="1" applyFont="1" applyBorder="1" applyAlignment="1">
      <alignment horizontal="center" vertical="center"/>
    </xf>
    <xf numFmtId="173" fontId="68" fillId="0" borderId="271"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09" xfId="23" applyNumberFormat="1" applyFont="1" applyFill="1" applyBorder="1" applyAlignment="1">
      <alignment horizontal="center" vertical="center"/>
    </xf>
    <xf numFmtId="173" fontId="147" fillId="92" borderId="309" xfId="23" applyNumberFormat="1" applyFont="1" applyFill="1" applyBorder="1" applyAlignment="1">
      <alignment horizontal="center" vertical="center"/>
    </xf>
    <xf numFmtId="0" fontId="9" fillId="0" borderId="310"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8"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8"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8"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wrapText="1"/>
    </xf>
    <xf numFmtId="0" fontId="158"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59" fillId="16" borderId="52" xfId="2" applyFont="1" applyFill="1" applyBorder="1" applyAlignment="1">
      <alignment horizontal="center" vertical="center"/>
    </xf>
    <xf numFmtId="9" fontId="159" fillId="16" borderId="11" xfId="2" applyFont="1" applyFill="1" applyBorder="1" applyAlignment="1">
      <alignment horizontal="center" vertical="center"/>
    </xf>
    <xf numFmtId="171" fontId="30" fillId="70" borderId="258"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59"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3"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4"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3"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3" xfId="0" applyNumberFormat="1" applyFont="1" applyFill="1" applyBorder="1" applyAlignment="1">
      <alignment horizontal="center"/>
    </xf>
    <xf numFmtId="171" fontId="165" fillId="98" borderId="37" xfId="0" applyNumberFormat="1" applyFont="1" applyFill="1" applyBorder="1" applyAlignment="1">
      <alignment horizontal="center"/>
    </xf>
    <xf numFmtId="171" fontId="165" fillId="98" borderId="0" xfId="0" applyNumberFormat="1" applyFont="1" applyFill="1" applyBorder="1" applyAlignment="1">
      <alignment horizontal="center"/>
    </xf>
    <xf numFmtId="171" fontId="165" fillId="98" borderId="7" xfId="0" applyNumberFormat="1" applyFont="1" applyFill="1" applyBorder="1" applyAlignment="1">
      <alignment horizontal="center"/>
    </xf>
    <xf numFmtId="1" fontId="166" fillId="88" borderId="35" xfId="0" applyNumberFormat="1" applyFont="1" applyFill="1" applyBorder="1" applyAlignment="1"/>
    <xf numFmtId="1" fontId="166" fillId="88" borderId="29" xfId="0" applyNumberFormat="1" applyFont="1" applyFill="1" applyBorder="1" applyAlignment="1"/>
    <xf numFmtId="171" fontId="166" fillId="88" borderId="290" xfId="0" applyNumberFormat="1" applyFont="1" applyFill="1" applyBorder="1" applyAlignment="1">
      <alignment horizontal="center"/>
    </xf>
    <xf numFmtId="171" fontId="166" fillId="88" borderId="291" xfId="0" applyNumberFormat="1" applyFont="1" applyFill="1" applyBorder="1" applyAlignment="1">
      <alignment horizontal="center"/>
    </xf>
    <xf numFmtId="171" fontId="166" fillId="88" borderId="292" xfId="0" applyNumberFormat="1" applyFont="1" applyFill="1" applyBorder="1" applyAlignment="1">
      <alignment horizontal="center"/>
    </xf>
    <xf numFmtId="171" fontId="59" fillId="22" borderId="0" xfId="0" applyNumberFormat="1" applyFont="1" applyFill="1" applyBorder="1" applyAlignment="1">
      <alignment horizontal="center"/>
    </xf>
    <xf numFmtId="171" fontId="167" fillId="22" borderId="290" xfId="0" applyNumberFormat="1" applyFont="1" applyFill="1" applyBorder="1" applyAlignment="1">
      <alignment horizontal="center"/>
    </xf>
    <xf numFmtId="171" fontId="167" fillId="22" borderId="291" xfId="0" applyNumberFormat="1" applyFont="1" applyFill="1" applyBorder="1" applyAlignment="1">
      <alignment horizontal="center"/>
    </xf>
    <xf numFmtId="171" fontId="167" fillId="22" borderId="292"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68" fillId="4" borderId="37" xfId="0" applyNumberFormat="1" applyFont="1" applyFill="1" applyBorder="1" applyAlignment="1">
      <alignment horizontal="center"/>
    </xf>
    <xf numFmtId="171" fontId="168" fillId="4" borderId="0" xfId="0" applyNumberFormat="1" applyFont="1" applyFill="1" applyBorder="1" applyAlignment="1">
      <alignment horizontal="center"/>
    </xf>
    <xf numFmtId="171" fontId="168" fillId="4" borderId="7" xfId="0" applyNumberFormat="1" applyFont="1" applyFill="1" applyBorder="1" applyAlignment="1">
      <alignment horizontal="center"/>
    </xf>
    <xf numFmtId="1" fontId="161" fillId="15" borderId="35" xfId="0" applyNumberFormat="1" applyFont="1" applyFill="1" applyBorder="1" applyAlignment="1"/>
    <xf numFmtId="1" fontId="161" fillId="15" borderId="29" xfId="0" applyNumberFormat="1" applyFont="1" applyFill="1" applyBorder="1" applyAlignment="1"/>
    <xf numFmtId="1" fontId="161"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1" fillId="15" borderId="37" xfId="0" applyNumberFormat="1" applyFont="1" applyFill="1" applyBorder="1" applyAlignment="1">
      <alignment horizontal="center"/>
    </xf>
    <xf numFmtId="171" fontId="161" fillId="15" borderId="0" xfId="0" applyNumberFormat="1" applyFont="1" applyFill="1" applyBorder="1" applyAlignment="1">
      <alignment horizontal="center"/>
    </xf>
    <xf numFmtId="171" fontId="161"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171" fontId="169"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0" fillId="0" borderId="0" xfId="0" applyFont="1" applyFill="1" applyBorder="1" applyAlignment="1">
      <alignment horizontal="center"/>
    </xf>
    <xf numFmtId="171" fontId="5" fillId="0" borderId="0" xfId="0" applyNumberFormat="1" applyFont="1" applyFill="1" applyBorder="1" applyAlignment="1">
      <alignment horizontal="center"/>
    </xf>
    <xf numFmtId="0" fontId="171"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2" fillId="0" borderId="0" xfId="4" applyFont="1" applyAlignment="1" applyProtection="1"/>
    <xf numFmtId="0" fontId="21" fillId="16" borderId="0" xfId="4" applyFill="1" applyBorder="1" applyAlignment="1" applyProtection="1">
      <alignment vertical="center"/>
    </xf>
    <xf numFmtId="0" fontId="173" fillId="16" borderId="0" xfId="0" applyFont="1" applyFill="1" applyBorder="1" applyAlignment="1">
      <alignment vertical="center"/>
    </xf>
    <xf numFmtId="171" fontId="174"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6" xfId="0" applyNumberFormat="1" applyFont="1" applyBorder="1"/>
    <xf numFmtId="0" fontId="133" fillId="3" borderId="7" xfId="0" applyFont="1" applyFill="1" applyBorder="1" applyAlignment="1">
      <alignment horizontal="center"/>
    </xf>
    <xf numFmtId="0" fontId="20" fillId="0" borderId="0" xfId="0" applyFont="1"/>
    <xf numFmtId="2" fontId="17" fillId="23" borderId="262"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75" fillId="0" borderId="0" xfId="0" applyFont="1"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58"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0" fillId="5" borderId="272" xfId="0" applyFont="1" applyFill="1" applyBorder="1" applyAlignment="1">
      <alignment horizontal="center" vertical="center" wrapText="1"/>
    </xf>
    <xf numFmtId="0" fontId="131" fillId="31" borderId="313"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79" fillId="31" borderId="42" xfId="67" applyNumberFormat="1" applyFont="1" applyFill="1" applyBorder="1" applyAlignment="1">
      <alignment horizontal="right"/>
    </xf>
    <xf numFmtId="3" fontId="181"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2" fillId="14" borderId="50" xfId="0" applyNumberFormat="1" applyFont="1" applyFill="1" applyBorder="1"/>
    <xf numFmtId="3" fontId="182"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1"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3"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09" borderId="37" xfId="0" applyNumberFormat="1" applyFont="1" applyFill="1" applyBorder="1" applyAlignment="1">
      <alignment horizontal="center" vertical="center"/>
    </xf>
    <xf numFmtId="2" fontId="101" fillId="109" borderId="37" xfId="0" applyNumberFormat="1" applyFont="1" applyFill="1" applyBorder="1" applyAlignment="1">
      <alignment horizontal="center" vertical="center"/>
    </xf>
    <xf numFmtId="3" fontId="101" fillId="109" borderId="37" xfId="0" applyNumberFormat="1" applyFont="1" applyFill="1" applyBorder="1" applyAlignment="1">
      <alignment horizontal="center" vertical="center"/>
    </xf>
    <xf numFmtId="1" fontId="101" fillId="109" borderId="6" xfId="0" applyNumberFormat="1" applyFont="1" applyFill="1" applyBorder="1" applyAlignment="1">
      <alignment horizontal="center" vertical="center"/>
    </xf>
    <xf numFmtId="2" fontId="101" fillId="109" borderId="6" xfId="0" applyNumberFormat="1" applyFont="1" applyFill="1" applyBorder="1" applyAlignment="1">
      <alignment horizontal="center" vertical="center"/>
    </xf>
    <xf numFmtId="3" fontId="101" fillId="109" borderId="6" xfId="0" applyNumberFormat="1" applyFont="1" applyFill="1" applyBorder="1" applyAlignment="1">
      <alignment horizontal="center" vertical="center"/>
    </xf>
    <xf numFmtId="0" fontId="0" fillId="0" borderId="0"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0"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2"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0"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0"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4" fillId="0" borderId="44" xfId="1" applyNumberFormat="1" applyFont="1" applyBorder="1"/>
    <xf numFmtId="168" fontId="184" fillId="0" borderId="13" xfId="1" applyNumberFormat="1" applyFont="1" applyBorder="1"/>
    <xf numFmtId="168" fontId="184"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85" fillId="0" borderId="0" xfId="0" applyFont="1" applyAlignment="1">
      <alignment horizontal="center" vertical="center"/>
    </xf>
    <xf numFmtId="0" fontId="186"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86"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2" xfId="0" applyNumberFormat="1" applyFont="1" applyFill="1" applyBorder="1" applyAlignment="1">
      <alignment horizontal="center" vertical="center"/>
    </xf>
    <xf numFmtId="2" fontId="11" fillId="16" borderId="313" xfId="0" applyNumberFormat="1" applyFont="1" applyFill="1" applyBorder="1" applyAlignment="1">
      <alignment horizontal="center" vertical="center"/>
    </xf>
    <xf numFmtId="9" fontId="19" fillId="27" borderId="362"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78" fillId="31" borderId="13" xfId="0" applyNumberFormat="1" applyFont="1" applyFill="1" applyBorder="1" applyAlignment="1">
      <alignment horizontal="center" vertical="center"/>
    </xf>
    <xf numFmtId="2" fontId="178" fillId="3" borderId="13" xfId="0" applyNumberFormat="1" applyFont="1" applyFill="1" applyBorder="1" applyAlignment="1">
      <alignment horizontal="center" vertical="center"/>
    </xf>
    <xf numFmtId="0" fontId="46" fillId="110" borderId="5" xfId="0" applyFont="1" applyFill="1" applyBorder="1" applyAlignment="1">
      <alignment vertical="center"/>
    </xf>
    <xf numFmtId="2" fontId="178" fillId="34" borderId="50" xfId="0" applyNumberFormat="1" applyFont="1" applyFill="1" applyBorder="1" applyAlignment="1">
      <alignment horizontal="center" vertical="center"/>
    </xf>
    <xf numFmtId="2" fontId="178" fillId="3" borderId="50" xfId="0" applyNumberFormat="1" applyFont="1" applyFill="1" applyBorder="1" applyAlignment="1">
      <alignment horizontal="center" vertical="center"/>
    </xf>
    <xf numFmtId="2" fontId="178"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89"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89" fillId="16" borderId="52" xfId="0" applyNumberFormat="1" applyFont="1" applyFill="1" applyBorder="1" applyAlignment="1">
      <alignment horizontal="center"/>
    </xf>
    <xf numFmtId="171" fontId="189" fillId="16" borderId="37" xfId="0" applyNumberFormat="1" applyFont="1" applyFill="1" applyBorder="1" applyAlignment="1">
      <alignment horizontal="center"/>
    </xf>
    <xf numFmtId="171" fontId="189"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0" fillId="16" borderId="83" xfId="0" applyNumberFormat="1" applyFont="1" applyFill="1" applyBorder="1" applyAlignment="1">
      <alignment horizontal="center" vertical="center"/>
    </xf>
    <xf numFmtId="171" fontId="190" fillId="16" borderId="7" xfId="0" applyNumberFormat="1" applyFont="1" applyFill="1" applyBorder="1" applyAlignment="1">
      <alignment horizontal="center" vertical="center"/>
    </xf>
    <xf numFmtId="171" fontId="190"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59"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1"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3"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1"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1" xfId="0" applyFont="1" applyBorder="1" applyAlignment="1">
      <alignment horizontal="center" vertical="center" wrapText="1"/>
    </xf>
    <xf numFmtId="0" fontId="61" fillId="0" borderId="273" xfId="0" applyFont="1" applyBorder="1" applyAlignment="1">
      <alignment horizontal="center" vertical="center" wrapText="1"/>
    </xf>
    <xf numFmtId="0" fontId="61" fillId="0" borderId="363" xfId="0" applyFont="1" applyBorder="1" applyAlignment="1">
      <alignment horizontal="center" vertical="center" wrapText="1"/>
    </xf>
    <xf numFmtId="0" fontId="61" fillId="0" borderId="364"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2"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1" xfId="0" applyFont="1" applyBorder="1" applyAlignment="1">
      <alignment horizontal="center" vertical="center" wrapText="1"/>
    </xf>
    <xf numFmtId="0" fontId="47" fillId="0" borderId="315" xfId="0" applyFont="1" applyBorder="1" applyAlignment="1">
      <alignment horizontal="center" vertical="center" wrapText="1"/>
    </xf>
    <xf numFmtId="0" fontId="47" fillId="3" borderId="315"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59"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5" xfId="1" applyNumberFormat="1" applyFont="1" applyFill="1" applyBorder="1"/>
    <xf numFmtId="168" fontId="61" fillId="31" borderId="367" xfId="1" applyNumberFormat="1" applyFont="1" applyFill="1" applyBorder="1"/>
    <xf numFmtId="168" fontId="61" fillId="10" borderId="367" xfId="1" applyNumberFormat="1" applyFont="1" applyFill="1" applyBorder="1"/>
    <xf numFmtId="168" fontId="61" fillId="5" borderId="367" xfId="1" applyNumberFormat="1" applyFont="1" applyFill="1" applyBorder="1"/>
    <xf numFmtId="168" fontId="61" fillId="0" borderId="367" xfId="1" applyNumberFormat="1" applyFont="1" applyFill="1" applyBorder="1"/>
    <xf numFmtId="168" fontId="61" fillId="0" borderId="37" xfId="1" applyNumberFormat="1" applyFont="1" applyFill="1" applyBorder="1"/>
    <xf numFmtId="168" fontId="61" fillId="0" borderId="368" xfId="1" applyNumberFormat="1" applyFont="1" applyFill="1" applyBorder="1"/>
    <xf numFmtId="168" fontId="61" fillId="0" borderId="369"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2"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0" fillId="31" borderId="55" xfId="0" applyNumberFormat="1" applyFont="1" applyFill="1" applyBorder="1" applyAlignment="1">
      <alignment horizontal="center" vertical="center"/>
    </xf>
    <xf numFmtId="2" fontId="178"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78" fillId="3" borderId="49" xfId="0" applyNumberFormat="1" applyFont="1" applyFill="1" applyBorder="1" applyAlignment="1">
      <alignment horizontal="center" vertical="center"/>
    </xf>
    <xf numFmtId="2" fontId="11" fillId="3" borderId="272" xfId="0" applyNumberFormat="1" applyFont="1" applyFill="1" applyBorder="1" applyAlignment="1">
      <alignment horizontal="center" vertical="center"/>
    </xf>
    <xf numFmtId="2" fontId="160" fillId="3" borderId="268"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78" fillId="3" borderId="44" xfId="0" applyNumberFormat="1" applyFont="1" applyFill="1" applyBorder="1" applyAlignment="1">
      <alignment horizontal="center" vertical="center"/>
    </xf>
    <xf numFmtId="2" fontId="97" fillId="3" borderId="317"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3" xfId="0" applyNumberFormat="1" applyFont="1" applyFill="1" applyBorder="1" applyAlignment="1">
      <alignment horizontal="center" vertical="center"/>
    </xf>
    <xf numFmtId="171" fontId="30" fillId="3" borderId="263"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8"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0" fillId="31" borderId="268" xfId="0" applyNumberFormat="1" applyFont="1" applyFill="1" applyBorder="1" applyAlignment="1">
      <alignment horizontal="center" vertical="center"/>
    </xf>
    <xf numFmtId="171" fontId="162" fillId="29" borderId="44" xfId="0" applyNumberFormat="1" applyFont="1" applyFill="1" applyBorder="1" applyAlignment="1">
      <alignment horizontal="center" vertical="center"/>
    </xf>
    <xf numFmtId="2" fontId="178"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0"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3" xfId="0" applyNumberFormat="1" applyFont="1" applyFill="1" applyBorder="1" applyAlignment="1">
      <alignment vertical="center"/>
    </xf>
    <xf numFmtId="0" fontId="0" fillId="31" borderId="0" xfId="0" applyFont="1" applyFill="1" applyBorder="1" applyAlignment="1">
      <alignment horizontal="center" vertical="center"/>
    </xf>
    <xf numFmtId="2" fontId="178"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195" fillId="0" borderId="0" xfId="0" applyNumberFormat="1" applyFont="1" applyFill="1" applyBorder="1"/>
    <xf numFmtId="2" fontId="196"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195" fillId="0" borderId="0" xfId="0" applyFont="1" applyFill="1" applyBorder="1"/>
    <xf numFmtId="0" fontId="197"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2"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198"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3" xfId="0" applyFont="1" applyFill="1" applyBorder="1" applyAlignment="1">
      <alignment horizontal="center"/>
    </xf>
    <xf numFmtId="0" fontId="17" fillId="3" borderId="263" xfId="0" applyFont="1" applyFill="1" applyBorder="1" applyAlignment="1">
      <alignment horizontal="center"/>
    </xf>
    <xf numFmtId="0" fontId="199"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0" fillId="25" borderId="0" xfId="0" applyFont="1" applyFill="1" applyBorder="1" applyAlignment="1">
      <alignment horizontal="right"/>
    </xf>
    <xf numFmtId="2" fontId="0" fillId="23" borderId="265"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6" borderId="52" xfId="0" applyFont="1" applyFill="1" applyBorder="1" applyAlignment="1">
      <alignment horizontal="left" vertical="center"/>
    </xf>
    <xf numFmtId="0" fontId="62" fillId="106" borderId="11" xfId="0" applyFont="1" applyFill="1" applyBorder="1" applyAlignment="1">
      <alignment horizontal="right"/>
    </xf>
    <xf numFmtId="2" fontId="26" fillId="71" borderId="266"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4" xfId="0" applyNumberFormat="1" applyFont="1" applyFill="1" applyBorder="1" applyAlignment="1">
      <alignment horizontal="center"/>
    </xf>
    <xf numFmtId="0" fontId="60" fillId="106" borderId="0" xfId="0" applyFont="1" applyFill="1" applyBorder="1" applyAlignment="1">
      <alignment horizontal="left" vertical="center"/>
    </xf>
    <xf numFmtId="0" fontId="62" fillId="106" borderId="0" xfId="0" applyFont="1" applyFill="1" applyBorder="1" applyAlignment="1">
      <alignment horizontal="right"/>
    </xf>
    <xf numFmtId="2" fontId="26" fillId="3" borderId="264"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2" fillId="16" borderId="0" xfId="0" applyFont="1" applyFill="1" applyBorder="1"/>
    <xf numFmtId="171" fontId="170"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05" fillId="16" borderId="27" xfId="0" applyFont="1" applyFill="1" applyBorder="1" applyAlignment="1">
      <alignment horizontal="center"/>
    </xf>
    <xf numFmtId="0" fontId="170" fillId="16" borderId="27" xfId="0" applyFont="1" applyFill="1" applyBorder="1" applyAlignment="1">
      <alignment horizontal="center"/>
    </xf>
    <xf numFmtId="0" fontId="170" fillId="16" borderId="27" xfId="0" applyFont="1" applyFill="1" applyBorder="1" applyAlignment="1">
      <alignment horizontal="right"/>
    </xf>
    <xf numFmtId="0" fontId="170" fillId="16" borderId="57" xfId="0" applyFont="1" applyFill="1" applyBorder="1" applyAlignment="1">
      <alignment horizontal="center"/>
    </xf>
    <xf numFmtId="0" fontId="170"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195" fillId="15" borderId="0" xfId="0" applyFont="1" applyFill="1" applyBorder="1" applyAlignment="1">
      <alignment horizontal="right"/>
    </xf>
    <xf numFmtId="171" fontId="6" fillId="4" borderId="0" xfId="0" applyNumberFormat="1" applyFont="1" applyFill="1" applyBorder="1" applyAlignment="1">
      <alignment horizontal="center"/>
    </xf>
    <xf numFmtId="171" fontId="203"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4"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07" fillId="4" borderId="0" xfId="0" applyFont="1" applyFill="1" applyBorder="1"/>
    <xf numFmtId="1" fontId="6" fillId="0" borderId="0" xfId="0" applyNumberFormat="1" applyFont="1" applyFill="1" applyBorder="1" applyAlignment="1">
      <alignment horizontal="center"/>
    </xf>
    <xf numFmtId="1" fontId="203"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08" fillId="2" borderId="37" xfId="0" applyNumberFormat="1" applyFont="1" applyFill="1" applyBorder="1" applyAlignment="1">
      <alignment horizontal="center"/>
    </xf>
    <xf numFmtId="171" fontId="208" fillId="2" borderId="0" xfId="0" applyNumberFormat="1" applyFont="1" applyFill="1" applyBorder="1" applyAlignment="1">
      <alignment horizontal="center"/>
    </xf>
    <xf numFmtId="171" fontId="208" fillId="2" borderId="7" xfId="0" applyNumberFormat="1" applyFont="1" applyFill="1" applyBorder="1" applyAlignment="1">
      <alignment horizontal="center"/>
    </xf>
    <xf numFmtId="171" fontId="209" fillId="4" borderId="37" xfId="0" applyNumberFormat="1" applyFont="1" applyFill="1" applyBorder="1" applyAlignment="1">
      <alignment horizontal="center"/>
    </xf>
    <xf numFmtId="171" fontId="209" fillId="4" borderId="0" xfId="0" applyNumberFormat="1" applyFont="1" applyFill="1" applyBorder="1" applyAlignment="1">
      <alignment horizontal="center"/>
    </xf>
    <xf numFmtId="171" fontId="209"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0" fillId="2" borderId="37" xfId="0" applyNumberFormat="1" applyFont="1" applyFill="1" applyBorder="1" applyAlignment="1">
      <alignment horizontal="center"/>
    </xf>
    <xf numFmtId="171" fontId="210" fillId="2" borderId="0" xfId="0" applyNumberFormat="1" applyFont="1" applyFill="1" applyBorder="1" applyAlignment="1">
      <alignment horizontal="center"/>
    </xf>
    <xf numFmtId="171" fontId="205" fillId="4" borderId="60" xfId="0" applyNumberFormat="1" applyFont="1" applyFill="1" applyBorder="1" applyAlignment="1">
      <alignment horizontal="center"/>
    </xf>
    <xf numFmtId="171" fontId="205" fillId="4" borderId="61" xfId="0" applyNumberFormat="1" applyFont="1" applyFill="1" applyBorder="1" applyAlignment="1">
      <alignment horizontal="center"/>
    </xf>
    <xf numFmtId="171" fontId="205"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09" fillId="28" borderId="77" xfId="0" applyNumberFormat="1" applyFont="1" applyFill="1" applyBorder="1" applyAlignment="1">
      <alignment horizontal="center"/>
    </xf>
    <xf numFmtId="171" fontId="209" fillId="28" borderId="100" xfId="0" applyNumberFormat="1" applyFont="1" applyFill="1" applyBorder="1" applyAlignment="1">
      <alignment horizontal="center"/>
    </xf>
    <xf numFmtId="171" fontId="211" fillId="70" borderId="82" xfId="0" applyNumberFormat="1" applyFont="1" applyFill="1" applyBorder="1" applyAlignment="1">
      <alignment horizontal="center"/>
    </xf>
    <xf numFmtId="0" fontId="171" fillId="24" borderId="37" xfId="0" applyFont="1" applyFill="1" applyBorder="1" applyAlignment="1">
      <alignment horizontal="left" vertical="center"/>
    </xf>
    <xf numFmtId="0" fontId="5" fillId="0" borderId="7" xfId="0" applyFont="1" applyBorder="1"/>
    <xf numFmtId="171" fontId="209"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1" fillId="70" borderId="181" xfId="0" applyNumberFormat="1" applyFont="1" applyFill="1" applyBorder="1" applyAlignment="1">
      <alignment horizontal="center"/>
    </xf>
    <xf numFmtId="171" fontId="211"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171" fontId="7" fillId="0" borderId="23" xfId="0" applyNumberFormat="1" applyFont="1" applyFill="1" applyBorder="1"/>
    <xf numFmtId="171" fontId="204"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1"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95"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3" fillId="15" borderId="29" xfId="0" applyNumberFormat="1" applyFont="1" applyFill="1" applyBorder="1" applyAlignment="1">
      <alignment horizontal="center" vertical="center" wrapText="1"/>
    </xf>
    <xf numFmtId="171" fontId="203" fillId="15" borderId="29" xfId="0" applyNumberFormat="1" applyFont="1" applyFill="1" applyBorder="1" applyAlignment="1">
      <alignment horizontal="center" vertical="center" wrapText="1"/>
    </xf>
    <xf numFmtId="0" fontId="206" fillId="15" borderId="29" xfId="0" applyFont="1" applyFill="1" applyBorder="1" applyAlignment="1">
      <alignment horizontal="center" vertical="center" wrapText="1"/>
    </xf>
    <xf numFmtId="0" fontId="203"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3"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4" fillId="15" borderId="93" xfId="0" applyFont="1" applyFill="1" applyBorder="1" applyAlignment="1">
      <alignment horizontal="center" vertical="center" wrapText="1"/>
    </xf>
    <xf numFmtId="0" fontId="204" fillId="15"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1"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1"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2"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05" fillId="21" borderId="0" xfId="0" applyFont="1" applyFill="1" applyBorder="1" applyAlignment="1">
      <alignment horizontal="center"/>
    </xf>
    <xf numFmtId="0" fontId="170" fillId="21" borderId="0" xfId="0" applyFont="1" applyFill="1" applyBorder="1" applyAlignment="1">
      <alignment horizontal="center"/>
    </xf>
    <xf numFmtId="0" fontId="170" fillId="21" borderId="0" xfId="0" applyFont="1" applyFill="1" applyBorder="1" applyAlignment="1">
      <alignment horizontal="right"/>
    </xf>
    <xf numFmtId="0" fontId="170"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5"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6" xfId="0" applyFont="1" applyFill="1" applyBorder="1" applyAlignment="1">
      <alignment horizontal="center"/>
    </xf>
    <xf numFmtId="1" fontId="6" fillId="111" borderId="93" xfId="0" applyNumberFormat="1" applyFont="1" applyFill="1" applyBorder="1" applyAlignment="1">
      <alignment horizontal="center"/>
    </xf>
    <xf numFmtId="171" fontId="6" fillId="111" borderId="29" xfId="0" applyNumberFormat="1" applyFont="1" applyFill="1" applyBorder="1" applyAlignment="1">
      <alignment horizontal="center"/>
    </xf>
    <xf numFmtId="171" fontId="6" fillId="111" borderId="376" xfId="0" applyNumberFormat="1"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 fontId="6" fillId="113"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1"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3" xfId="0" applyNumberFormat="1" applyFont="1" applyFill="1" applyBorder="1" applyAlignment="1">
      <alignment horizontal="center"/>
    </xf>
    <xf numFmtId="1" fontId="6" fillId="16" borderId="372"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195"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4"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0" xfId="0" applyNumberFormat="1" applyFont="1" applyFill="1" applyBorder="1" applyAlignment="1">
      <alignment horizontal="center"/>
    </xf>
    <xf numFmtId="171" fontId="15" fillId="0" borderId="260"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3" fillId="16" borderId="33" xfId="0" applyNumberFormat="1" applyFont="1" applyFill="1" applyBorder="1" applyAlignment="1">
      <alignment horizontal="center" vertical="center"/>
    </xf>
    <xf numFmtId="1" fontId="213" fillId="16" borderId="0" xfId="0" applyNumberFormat="1" applyFont="1" applyFill="1" applyBorder="1" applyAlignment="1">
      <alignment horizontal="center"/>
    </xf>
    <xf numFmtId="1" fontId="213" fillId="16" borderId="253" xfId="0" applyNumberFormat="1" applyFont="1" applyFill="1" applyBorder="1" applyAlignment="1">
      <alignment horizontal="center" vertical="center"/>
    </xf>
    <xf numFmtId="1" fontId="213"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14"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05" fillId="21" borderId="0" xfId="0" applyNumberFormat="1" applyFont="1" applyFill="1" applyBorder="1" applyAlignment="1">
      <alignment horizontal="center" vertical="center"/>
    </xf>
    <xf numFmtId="171" fontId="210" fillId="4" borderId="37" xfId="0" applyNumberFormat="1" applyFont="1" applyFill="1" applyBorder="1" applyAlignment="1">
      <alignment horizontal="center" vertical="center"/>
    </xf>
    <xf numFmtId="171" fontId="210" fillId="4" borderId="0" xfId="0" applyNumberFormat="1" applyFont="1" applyFill="1" applyBorder="1" applyAlignment="1">
      <alignment horizontal="center" vertical="center"/>
    </xf>
    <xf numFmtId="171" fontId="210" fillId="4" borderId="7" xfId="0" applyNumberFormat="1" applyFont="1" applyFill="1" applyBorder="1" applyAlignment="1">
      <alignment horizontal="center" vertical="center"/>
    </xf>
    <xf numFmtId="171" fontId="205" fillId="4" borderId="74" xfId="0" applyNumberFormat="1" applyFont="1" applyFill="1" applyBorder="1" applyAlignment="1">
      <alignment horizontal="center" vertical="center"/>
    </xf>
    <xf numFmtId="171" fontId="205" fillId="4" borderId="61" xfId="0" applyNumberFormat="1" applyFont="1" applyFill="1" applyBorder="1" applyAlignment="1">
      <alignment horizontal="center" vertical="center"/>
    </xf>
    <xf numFmtId="171" fontId="205" fillId="4" borderId="62" xfId="0" applyNumberFormat="1" applyFont="1" applyFill="1" applyBorder="1" applyAlignment="1">
      <alignment horizontal="center" vertical="center"/>
    </xf>
    <xf numFmtId="171" fontId="215" fillId="4" borderId="105" xfId="0" applyNumberFormat="1" applyFont="1" applyFill="1" applyBorder="1" applyAlignment="1">
      <alignment horizontal="center" vertical="center"/>
    </xf>
    <xf numFmtId="171" fontId="215" fillId="4" borderId="2" xfId="0" applyNumberFormat="1" applyFont="1" applyFill="1" applyBorder="1" applyAlignment="1">
      <alignment horizontal="center" vertical="center"/>
    </xf>
    <xf numFmtId="171" fontId="215" fillId="4" borderId="106" xfId="0" applyNumberFormat="1" applyFont="1" applyFill="1" applyBorder="1" applyAlignment="1">
      <alignment horizontal="center" vertical="center"/>
    </xf>
    <xf numFmtId="171" fontId="215" fillId="22" borderId="105" xfId="0" applyNumberFormat="1" applyFont="1" applyFill="1" applyBorder="1" applyAlignment="1">
      <alignment horizontal="center" vertical="center"/>
    </xf>
    <xf numFmtId="171" fontId="215" fillId="22" borderId="2" xfId="0" applyNumberFormat="1" applyFont="1" applyFill="1" applyBorder="1" applyAlignment="1">
      <alignment horizontal="center" vertical="center"/>
    </xf>
    <xf numFmtId="171" fontId="215"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4" xfId="0" applyNumberFormat="1" applyFont="1" applyFill="1" applyBorder="1" applyAlignment="1">
      <alignment horizontal="center"/>
    </xf>
    <xf numFmtId="171" fontId="7" fillId="111" borderId="23" xfId="0" applyNumberFormat="1" applyFont="1" applyFill="1" applyBorder="1" applyAlignment="1">
      <alignment horizontal="center"/>
    </xf>
    <xf numFmtId="171" fontId="7" fillId="111" borderId="0" xfId="0" applyNumberFormat="1" applyFont="1" applyFill="1" applyBorder="1" applyAlignment="1">
      <alignment horizontal="center"/>
    </xf>
    <xf numFmtId="171" fontId="7" fillId="111" borderId="63"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15" fillId="16" borderId="0" xfId="0" applyNumberFormat="1" applyFont="1" applyFill="1" applyBorder="1" applyAlignment="1">
      <alignment horizontal="center" vertical="center"/>
    </xf>
    <xf numFmtId="171" fontId="209" fillId="39" borderId="107" xfId="0" applyNumberFormat="1" applyFont="1" applyFill="1" applyBorder="1" applyAlignment="1">
      <alignment horizontal="center"/>
    </xf>
    <xf numFmtId="171" fontId="209" fillId="39" borderId="107" xfId="0" applyNumberFormat="1" applyFont="1" applyFill="1" applyBorder="1" applyAlignment="1">
      <alignment horizontal="center" vertical="center"/>
    </xf>
    <xf numFmtId="171" fontId="209" fillId="0" borderId="107" xfId="0" applyNumberFormat="1" applyFont="1" applyFill="1" applyBorder="1" applyAlignment="1">
      <alignment horizontal="center"/>
    </xf>
    <xf numFmtId="171" fontId="209" fillId="3" borderId="0" xfId="0" applyNumberFormat="1" applyFont="1" applyFill="1" applyBorder="1" applyAlignment="1">
      <alignment horizontal="center"/>
    </xf>
    <xf numFmtId="171" fontId="209" fillId="39" borderId="2" xfId="0" applyNumberFormat="1" applyFont="1" applyFill="1" applyBorder="1" applyAlignment="1">
      <alignment horizontal="center"/>
    </xf>
    <xf numFmtId="171" fontId="209" fillId="39" borderId="2" xfId="0" applyNumberFormat="1" applyFont="1" applyFill="1" applyBorder="1" applyAlignment="1">
      <alignment horizontal="center" vertical="center"/>
    </xf>
    <xf numFmtId="171" fontId="209"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3"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3"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0" fontId="61" fillId="3" borderId="0" xfId="0" applyFont="1" applyFill="1" applyBorder="1" applyAlignment="1">
      <alignment horizontal="center" vertical="center"/>
    </xf>
    <xf numFmtId="0" fontId="216"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1"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1"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30" fillId="0" borderId="311" xfId="0" applyFont="1" applyBorder="1" applyAlignment="1">
      <alignment horizontal="center" vertical="center"/>
    </xf>
    <xf numFmtId="0" fontId="30" fillId="0" borderId="66" xfId="0" applyFont="1" applyBorder="1" applyAlignment="1">
      <alignment horizontal="center" vertical="center"/>
    </xf>
    <xf numFmtId="168" fontId="61" fillId="0" borderId="318"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4" fillId="0" borderId="27" xfId="0" applyFont="1" applyFill="1" applyBorder="1" applyAlignment="1">
      <alignment vertical="center" wrapText="1"/>
    </xf>
    <xf numFmtId="0" fontId="194"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3"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1"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1"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33" xfId="0" applyFont="1" applyBorder="1"/>
    <xf numFmtId="0" fontId="61" fillId="0" borderId="45" xfId="0" applyFont="1" applyFill="1" applyBorder="1" applyAlignment="1">
      <alignment horizontal="center" vertical="center" wrapText="1"/>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166" fontId="0" fillId="0" borderId="0" xfId="1" applyFont="1" applyAlignment="1">
      <alignment horizontal="lef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1"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1"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4" borderId="13" xfId="1" applyFont="1" applyFill="1" applyBorder="1" applyAlignment="1">
      <alignment horizontal="center" vertical="center" wrapText="1"/>
    </xf>
    <xf numFmtId="0" fontId="7" fillId="114"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4"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4"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17" fillId="0" borderId="13" xfId="0" applyFont="1" applyFill="1" applyBorder="1" applyAlignment="1">
      <alignment horizontal="left" vertical="center" wrapText="1"/>
    </xf>
    <xf numFmtId="0" fontId="217" fillId="16" borderId="13" xfId="0" applyFont="1" applyFill="1" applyBorder="1" applyAlignment="1">
      <alignment horizontal="center" vertical="center" wrapText="1"/>
    </xf>
    <xf numFmtId="0" fontId="218"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5"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7" borderId="63" xfId="0" applyFont="1" applyFill="1" applyBorder="1" applyAlignment="1">
      <alignment horizontal="left" vertical="center" wrapText="1"/>
    </xf>
    <xf numFmtId="0" fontId="5" fillId="107"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17"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68" fontId="5" fillId="26" borderId="0" xfId="1" applyNumberFormat="1" applyFont="1" applyFill="1"/>
    <xf numFmtId="0" fontId="17" fillId="116" borderId="13" xfId="0" applyFont="1" applyFill="1" applyBorder="1" applyAlignment="1">
      <alignment horizontal="center" vertical="center" wrapText="1"/>
    </xf>
    <xf numFmtId="0" fontId="17" fillId="116"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19"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5"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7"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1" xfId="0" applyFont="1" applyFill="1" applyBorder="1" applyAlignment="1">
      <alignment vertical="center" wrapText="1"/>
    </xf>
    <xf numFmtId="0" fontId="138" fillId="0" borderId="273" xfId="0" applyFont="1" applyFill="1" applyBorder="1" applyAlignment="1">
      <alignment vertical="center" wrapText="1"/>
    </xf>
    <xf numFmtId="0" fontId="138" fillId="0" borderId="317" xfId="0" applyFont="1" applyFill="1" applyBorder="1" applyAlignment="1">
      <alignment horizontal="center" vertical="center" wrapText="1"/>
    </xf>
    <xf numFmtId="0" fontId="138" fillId="0" borderId="318"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7" xfId="0" applyFont="1" applyFill="1" applyBorder="1" applyAlignment="1">
      <alignment horizontal="center" vertical="center" wrapText="1"/>
    </xf>
    <xf numFmtId="0" fontId="10" fillId="0" borderId="318"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2" fillId="13" borderId="49" xfId="0" applyNumberFormat="1" applyFont="1" applyFill="1" applyBorder="1"/>
    <xf numFmtId="168" fontId="218" fillId="31" borderId="366" xfId="1" applyNumberFormat="1" applyFont="1" applyFill="1" applyBorder="1"/>
    <xf numFmtId="168" fontId="220" fillId="31" borderId="366" xfId="1" applyNumberFormat="1" applyFont="1" applyFill="1" applyBorder="1"/>
    <xf numFmtId="168" fontId="218" fillId="31" borderId="4" xfId="1" applyNumberFormat="1" applyFont="1" applyFill="1" applyBorder="1"/>
    <xf numFmtId="168" fontId="218" fillId="10" borderId="4" xfId="1" applyNumberFormat="1" applyFont="1" applyFill="1" applyBorder="1"/>
    <xf numFmtId="168" fontId="218" fillId="5" borderId="4" xfId="1" applyNumberFormat="1" applyFont="1" applyFill="1" applyBorder="1"/>
    <xf numFmtId="168" fontId="218" fillId="0" borderId="4" xfId="1" applyNumberFormat="1" applyFont="1" applyFill="1" applyBorder="1"/>
    <xf numFmtId="168" fontId="218" fillId="0" borderId="0" xfId="1" applyNumberFormat="1" applyFont="1" applyFill="1" applyBorder="1"/>
    <xf numFmtId="168" fontId="218" fillId="0" borderId="369" xfId="1" applyNumberFormat="1" applyFont="1" applyFill="1" applyBorder="1"/>
    <xf numFmtId="167" fontId="26" fillId="70" borderId="0" xfId="2" applyNumberFormat="1" applyFont="1" applyFill="1" applyAlignment="1">
      <alignment horizontal="center"/>
    </xf>
    <xf numFmtId="0" fontId="139" fillId="86" borderId="272" xfId="0" applyFont="1" applyFill="1" applyBorder="1" applyAlignment="1">
      <alignment horizontal="center" vertical="center" wrapText="1"/>
    </xf>
    <xf numFmtId="0" fontId="131" fillId="86" borderId="313" xfId="0" applyFont="1" applyFill="1" applyBorder="1" applyAlignment="1">
      <alignment horizontal="center" vertical="center" wrapText="1"/>
    </xf>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2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8" borderId="13" xfId="0" applyFont="1" applyFill="1" applyBorder="1" applyAlignment="1">
      <alignment horizontal="left" vertical="center"/>
    </xf>
    <xf numFmtId="0" fontId="7" fillId="118" borderId="13" xfId="0" applyFont="1" applyFill="1" applyBorder="1" applyAlignment="1">
      <alignment vertical="center" wrapText="1"/>
    </xf>
    <xf numFmtId="0" fontId="7" fillId="118" borderId="13" xfId="0" applyFont="1" applyFill="1" applyBorder="1" applyAlignment="1">
      <alignment horizontal="left" vertical="center" wrapText="1"/>
    </xf>
    <xf numFmtId="0" fontId="7" fillId="118" borderId="13" xfId="0" applyFont="1" applyFill="1" applyBorder="1" applyAlignment="1">
      <alignment horizontal="center" vertical="center" wrapText="1"/>
    </xf>
    <xf numFmtId="0" fontId="109" fillId="118" borderId="13" xfId="0" applyFont="1" applyFill="1" applyBorder="1" applyAlignment="1">
      <alignment horizontal="center" vertical="center" wrapText="1"/>
    </xf>
    <xf numFmtId="0" fontId="0" fillId="118" borderId="0" xfId="0" applyFill="1"/>
    <xf numFmtId="0" fontId="5" fillId="118" borderId="0" xfId="0" applyFont="1" applyFill="1" applyAlignment="1">
      <alignment horizontal="left" vertical="center"/>
    </xf>
    <xf numFmtId="0" fontId="138" fillId="118" borderId="13" xfId="0" applyFont="1" applyFill="1" applyBorder="1" applyAlignment="1">
      <alignment horizontal="left" vertical="center" wrapText="1"/>
    </xf>
    <xf numFmtId="0" fontId="16" fillId="118" borderId="13" xfId="0" applyFont="1" applyFill="1" applyBorder="1" applyAlignment="1">
      <alignment horizontal="center" vertical="center" wrapText="1"/>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23" fillId="0" borderId="0" xfId="0" applyFont="1" applyFill="1" applyAlignment="1">
      <alignment horizontal="center"/>
    </xf>
    <xf numFmtId="0" fontId="224" fillId="0" borderId="0" xfId="0" applyFont="1"/>
    <xf numFmtId="0" fontId="139" fillId="0" borderId="0" xfId="0" applyFont="1" applyFill="1"/>
    <xf numFmtId="168" fontId="22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2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9" fillId="0" borderId="42" xfId="67" applyNumberFormat="1" applyFont="1" applyFill="1" applyBorder="1" applyAlignment="1">
      <alignment horizontal="right"/>
    </xf>
    <xf numFmtId="167" fontId="227" fillId="0" borderId="0"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19"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59" fillId="27" borderId="0" xfId="0" applyFont="1" applyFill="1" applyAlignment="1">
      <alignment vertical="center"/>
    </xf>
    <xf numFmtId="167" fontId="159" fillId="27" borderId="0" xfId="0" applyNumberFormat="1" applyFont="1" applyFill="1" applyAlignment="1">
      <alignment vertical="center"/>
    </xf>
    <xf numFmtId="171" fontId="30" fillId="0" borderId="263"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78" fillId="0" borderId="51" xfId="0" applyNumberFormat="1" applyFont="1" applyFill="1" applyBorder="1" applyAlignment="1">
      <alignment horizontal="center" vertical="center"/>
    </xf>
    <xf numFmtId="2" fontId="160" fillId="0" borderId="55" xfId="0" applyNumberFormat="1" applyFont="1" applyFill="1" applyBorder="1" applyAlignment="1">
      <alignment horizontal="center" vertical="center"/>
    </xf>
    <xf numFmtId="2" fontId="96" fillId="0" borderId="362" xfId="0" applyNumberFormat="1" applyFont="1" applyFill="1" applyBorder="1" applyAlignment="1">
      <alignment horizontal="center" vertical="center"/>
    </xf>
    <xf numFmtId="9" fontId="19" fillId="0" borderId="362" xfId="2" applyFont="1" applyFill="1" applyBorder="1" applyAlignment="1">
      <alignment horizontal="center" vertical="center"/>
    </xf>
    <xf numFmtId="2" fontId="178" fillId="0" borderId="45" xfId="0" applyNumberFormat="1" applyFont="1" applyFill="1" applyBorder="1" applyAlignment="1">
      <alignment horizontal="center" vertical="center"/>
    </xf>
    <xf numFmtId="2" fontId="97" fillId="0" borderId="318"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3" xfId="0" applyNumberFormat="1" applyFont="1" applyFill="1" applyBorder="1" applyAlignment="1">
      <alignment horizontal="center" vertical="center"/>
    </xf>
    <xf numFmtId="171" fontId="11" fillId="0" borderId="263"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2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17" fillId="0" borderId="35" xfId="0" applyFont="1" applyBorder="1" applyAlignment="1">
      <alignment horizontal="center" vertical="center" wrapText="1"/>
    </xf>
    <xf numFmtId="0" fontId="228" fillId="14" borderId="0" xfId="0" applyFont="1" applyFill="1" applyAlignment="1">
      <alignment horizontal="center" vertical="center" wrapText="1"/>
    </xf>
    <xf numFmtId="171" fontId="7" fillId="16" borderId="0" xfId="0" applyNumberFormat="1" applyFont="1" applyFill="1" applyBorder="1" applyAlignment="1">
      <alignment horizontal="left" vertical="center" wrapText="1"/>
    </xf>
    <xf numFmtId="0" fontId="7" fillId="0" borderId="0" xfId="0" applyFont="1" applyBorder="1" applyAlignment="1">
      <alignment horizontal="center" vertical="center" wrapText="1"/>
    </xf>
    <xf numFmtId="166" fontId="61" fillId="0" borderId="25" xfId="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1"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167" fontId="61" fillId="14" borderId="57" xfId="2" applyNumberFormat="1" applyFont="1" applyFill="1" applyBorder="1" applyAlignment="1">
      <alignment horizontal="center" vertical="center"/>
    </xf>
    <xf numFmtId="17" fontId="0" fillId="108"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1" xfId="0" applyBorder="1" applyAlignment="1">
      <alignment horizontal="center" vertical="center" wrapText="1"/>
    </xf>
    <xf numFmtId="9" fontId="0" fillId="0" borderId="381" xfId="2" applyFont="1" applyBorder="1" applyAlignment="1">
      <alignment horizontal="center" vertical="center" wrapText="1"/>
    </xf>
    <xf numFmtId="166" fontId="0" fillId="0" borderId="381" xfId="1" applyFont="1" applyBorder="1" applyAlignment="1">
      <alignment horizontal="center" vertical="center" wrapText="1"/>
    </xf>
    <xf numFmtId="165" fontId="0" fillId="0" borderId="381"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6"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7"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6"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26" fillId="70" borderId="0" xfId="0" applyFont="1" applyFill="1" applyAlignment="1">
      <alignment horizontal="left" indent="1"/>
    </xf>
    <xf numFmtId="0" fontId="26" fillId="70" borderId="0" xfId="0" applyNumberFormat="1" applyFont="1" applyFill="1" applyAlignment="1">
      <alignment horizontal="center"/>
    </xf>
    <xf numFmtId="0" fontId="176" fillId="0" borderId="0" xfId="0" applyFont="1" applyAlignment="1">
      <alignment wrapText="1"/>
    </xf>
    <xf numFmtId="0" fontId="175"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9" fontId="28" fillId="107" borderId="0" xfId="2" applyFont="1" applyFill="1" applyBorder="1" applyAlignment="1">
      <alignment horizontal="center" vertical="center" wrapText="1"/>
    </xf>
    <xf numFmtId="3" fontId="5" fillId="107" borderId="23" xfId="0" applyNumberFormat="1" applyFont="1" applyFill="1" applyBorder="1" applyAlignment="1">
      <alignment wrapText="1"/>
    </xf>
    <xf numFmtId="9" fontId="28" fillId="107" borderId="7" xfId="2" applyFont="1" applyFill="1" applyBorder="1" applyAlignment="1">
      <alignment horizontal="center" vertical="center"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0" fontId="128" fillId="0" borderId="0" xfId="0" applyFont="1" applyAlignment="1"/>
    <xf numFmtId="0" fontId="230" fillId="14" borderId="0" xfId="0" applyFont="1" applyFill="1" applyAlignment="1">
      <alignment horizontal="center" vertical="center" wrapText="1"/>
    </xf>
    <xf numFmtId="0" fontId="26" fillId="0" borderId="5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0" fontId="26" fillId="0" borderId="13" xfId="0" applyFont="1" applyFill="1" applyBorder="1" applyAlignment="1">
      <alignment horizontal="center" vertical="center" wrapText="1"/>
    </xf>
    <xf numFmtId="168" fontId="229" fillId="14" borderId="380"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0" fontId="26" fillId="0" borderId="317" xfId="0" applyFont="1" applyFill="1" applyBorder="1" applyAlignment="1">
      <alignment horizontal="center" vertical="center" wrapText="1"/>
    </xf>
    <xf numFmtId="0" fontId="32" fillId="0" borderId="49" xfId="0" applyFont="1" applyFill="1" applyBorder="1" applyAlignment="1">
      <alignment horizontal="center" vertical="center" wrapText="1"/>
    </xf>
    <xf numFmtId="0" fontId="0" fillId="0" borderId="37" xfId="0" applyFill="1" applyBorder="1" applyAlignment="1">
      <alignment vertical="center" wrapText="1"/>
    </xf>
    <xf numFmtId="0" fontId="231" fillId="14" borderId="37" xfId="0" applyFont="1" applyFill="1" applyBorder="1" applyAlignment="1">
      <alignment vertical="center" wrapText="1"/>
    </xf>
    <xf numFmtId="168" fontId="228" fillId="14" borderId="34" xfId="14" applyNumberFormat="1" applyFont="1" applyFill="1" applyBorder="1" applyAlignment="1">
      <alignment vertical="center" wrapText="1"/>
    </xf>
    <xf numFmtId="0" fontId="228" fillId="14" borderId="7" xfId="0" applyFont="1" applyFill="1" applyBorder="1" applyAlignment="1">
      <alignment horizontal="center" vertical="center" wrapText="1"/>
    </xf>
    <xf numFmtId="0" fontId="0" fillId="0" borderId="40" xfId="0" applyFill="1" applyBorder="1" applyAlignment="1">
      <alignment vertical="center" wrapText="1"/>
    </xf>
    <xf numFmtId="0" fontId="26" fillId="0" borderId="35"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311"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126" fillId="0" borderId="0" xfId="0" applyFont="1" applyFill="1" applyBorder="1" applyAlignment="1">
      <alignment horizontal="center" vertical="center" wrapText="1"/>
    </xf>
    <xf numFmtId="0" fontId="30" fillId="0" borderId="317" xfId="0" applyFont="1" applyFill="1" applyBorder="1" applyAlignment="1">
      <alignment horizontal="center" vertical="center" wrapText="1"/>
    </xf>
    <xf numFmtId="0" fontId="232" fillId="14" borderId="40" xfId="0" applyFont="1" applyFill="1" applyBorder="1" applyAlignment="1">
      <alignment horizontal="center" vertical="center" wrapText="1"/>
    </xf>
    <xf numFmtId="0" fontId="232" fillId="14" borderId="253" xfId="0" applyFont="1" applyFill="1" applyBorder="1" applyAlignment="1">
      <alignment horizontal="center" vertical="center" wrapText="1"/>
    </xf>
    <xf numFmtId="0" fontId="22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3" xfId="0" applyFont="1" applyFill="1" applyBorder="1" applyAlignment="1">
      <alignment horizontal="center" vertical="center" wrapText="1"/>
    </xf>
    <xf numFmtId="9" fontId="0" fillId="7" borderId="313" xfId="2" applyFont="1" applyFill="1" applyBorder="1" applyAlignment="1">
      <alignment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8"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19" borderId="272" xfId="0" applyFont="1" applyFill="1" applyBorder="1" applyAlignment="1">
      <alignment horizontal="center" vertical="center" wrapText="1"/>
    </xf>
    <xf numFmtId="0" fontId="131" fillId="119" borderId="313" xfId="0" applyFont="1" applyFill="1" applyBorder="1" applyAlignment="1">
      <alignment horizontal="center" vertical="center" wrapText="1"/>
    </xf>
    <xf numFmtId="3" fontId="131" fillId="119" borderId="49" xfId="0" applyNumberFormat="1" applyFont="1" applyFill="1" applyBorder="1"/>
    <xf numFmtId="3" fontId="131" fillId="119"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27" fillId="70" borderId="0" xfId="2" applyNumberFormat="1" applyFont="1" applyFill="1" applyBorder="1"/>
    <xf numFmtId="167" fontId="131"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19" borderId="35" xfId="0" applyFont="1" applyFill="1" applyBorder="1" applyAlignment="1">
      <alignment horizontal="center" vertical="center" wrapText="1"/>
    </xf>
    <xf numFmtId="0" fontId="145" fillId="119" borderId="29" xfId="0" applyFont="1" applyFill="1" applyBorder="1" applyAlignment="1">
      <alignment horizontal="center" vertical="center" wrapText="1"/>
    </xf>
    <xf numFmtId="0" fontId="131" fillId="119"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0" fontId="131" fillId="119" borderId="0" xfId="0" applyFont="1" applyFill="1" applyBorder="1" applyAlignment="1">
      <alignment horizontal="center" vertical="center" wrapText="1"/>
    </xf>
    <xf numFmtId="0" fontId="52" fillId="119" borderId="0" xfId="7" applyFont="1" applyFill="1" applyAlignment="1">
      <alignment horizontal="center"/>
    </xf>
    <xf numFmtId="167" fontId="233" fillId="0" borderId="0" xfId="0" applyNumberFormat="1" applyFont="1" applyAlignment="1">
      <alignment horizontal="center"/>
    </xf>
    <xf numFmtId="3" fontId="96" fillId="16"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09" borderId="66" xfId="0" applyFont="1" applyFill="1" applyBorder="1" applyAlignment="1">
      <alignment horizontal="center" vertical="center"/>
    </xf>
    <xf numFmtId="0" fontId="101" fillId="109" borderId="108" xfId="0" applyFont="1" applyFill="1" applyBorder="1" applyAlignment="1">
      <alignment horizontal="center" vertical="center"/>
    </xf>
    <xf numFmtId="1" fontId="101" fillId="109" borderId="273" xfId="0" applyNumberFormat="1" applyFont="1" applyFill="1" applyBorder="1" applyAlignment="1">
      <alignment horizontal="center" vertical="center"/>
    </xf>
    <xf numFmtId="2" fontId="101" fillId="109" borderId="66" xfId="0" applyNumberFormat="1" applyFont="1" applyFill="1" applyBorder="1" applyAlignment="1">
      <alignment horizontal="center" vertical="center"/>
    </xf>
    <xf numFmtId="2" fontId="101" fillId="109" borderId="108" xfId="0" applyNumberFormat="1" applyFont="1" applyFill="1" applyBorder="1" applyAlignment="1">
      <alignment horizontal="center" vertical="center"/>
    </xf>
    <xf numFmtId="2" fontId="101" fillId="109" borderId="273" xfId="0" applyNumberFormat="1" applyFont="1" applyFill="1" applyBorder="1" applyAlignment="1">
      <alignment horizontal="center" vertical="center"/>
    </xf>
    <xf numFmtId="2" fontId="101" fillId="109" borderId="81" xfId="0" applyNumberFormat="1" applyFont="1" applyFill="1" applyBorder="1" applyAlignment="1">
      <alignment horizontal="center" vertical="center"/>
    </xf>
    <xf numFmtId="3" fontId="101" fillId="109" borderId="66" xfId="0" applyNumberFormat="1" applyFont="1" applyFill="1" applyBorder="1" applyAlignment="1">
      <alignment horizontal="center" vertical="center"/>
    </xf>
    <xf numFmtId="3" fontId="101" fillId="109" borderId="108" xfId="0" applyNumberFormat="1" applyFont="1" applyFill="1" applyBorder="1" applyAlignment="1">
      <alignment horizontal="center" vertical="center"/>
    </xf>
    <xf numFmtId="1" fontId="101" fillId="109" borderId="81" xfId="0" applyNumberFormat="1" applyFont="1" applyFill="1" applyBorder="1" applyAlignment="1">
      <alignment horizontal="center" vertical="center"/>
    </xf>
    <xf numFmtId="3" fontId="101" fillId="109" borderId="273" xfId="0" applyNumberFormat="1" applyFont="1" applyFill="1" applyBorder="1" applyAlignment="1">
      <alignment horizontal="center" vertical="center"/>
    </xf>
    <xf numFmtId="3" fontId="101" fillId="109"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3"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3"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3" xfId="0" applyNumberFormat="1" applyFont="1" applyFill="1" applyBorder="1" applyAlignment="1">
      <alignment horizontal="center" vertical="top"/>
    </xf>
    <xf numFmtId="2" fontId="101" fillId="85" borderId="273"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3" xfId="0" applyNumberFormat="1" applyFont="1" applyFill="1" applyBorder="1" applyAlignment="1">
      <alignment horizontal="center" vertical="center"/>
    </xf>
    <xf numFmtId="2" fontId="101" fillId="85" borderId="273"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2" borderId="37" xfId="0" applyFont="1" applyFill="1" applyBorder="1" applyAlignment="1">
      <alignment horizontal="center" vertical="center"/>
    </xf>
    <xf numFmtId="2" fontId="101" fillId="122" borderId="37" xfId="0" applyNumberFormat="1" applyFont="1" applyFill="1" applyBorder="1" applyAlignment="1">
      <alignment horizontal="center" vertical="center"/>
    </xf>
    <xf numFmtId="0" fontId="101" fillId="122" borderId="66" xfId="0" applyFont="1" applyFill="1" applyBorder="1" applyAlignment="1">
      <alignment horizontal="center" vertical="center"/>
    </xf>
    <xf numFmtId="0" fontId="101" fillId="122" borderId="273" xfId="0" applyFont="1" applyFill="1" applyBorder="1" applyAlignment="1">
      <alignment horizontal="center" vertical="center"/>
    </xf>
    <xf numFmtId="2" fontId="101" fillId="122" borderId="66" xfId="0" applyNumberFormat="1" applyFont="1" applyFill="1" applyBorder="1" applyAlignment="1">
      <alignment horizontal="center" vertical="center"/>
    </xf>
    <xf numFmtId="2" fontId="101" fillId="122" borderId="273" xfId="0" applyNumberFormat="1" applyFont="1" applyFill="1" applyBorder="1" applyAlignment="1">
      <alignment horizontal="center" vertical="center"/>
    </xf>
    <xf numFmtId="0" fontId="101" fillId="122" borderId="52" xfId="0" applyFont="1" applyFill="1" applyBorder="1" applyAlignment="1">
      <alignment horizontal="center" vertical="center" wrapText="1"/>
    </xf>
    <xf numFmtId="0" fontId="101" fillId="109" borderId="52" xfId="0" applyFont="1" applyFill="1" applyBorder="1" applyAlignment="1">
      <alignment horizontal="center" vertical="center" wrapText="1"/>
    </xf>
    <xf numFmtId="0" fontId="101" fillId="109"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3"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3"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3"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3"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3"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3"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09" borderId="37" xfId="0" applyNumberFormat="1" applyFont="1" applyFill="1" applyBorder="1" applyAlignment="1">
      <alignment horizontal="center" vertical="center"/>
    </xf>
    <xf numFmtId="3" fontId="100" fillId="109" borderId="6" xfId="0" applyNumberFormat="1" applyFont="1" applyFill="1" applyBorder="1" applyAlignment="1">
      <alignment horizontal="center" vertical="center"/>
    </xf>
    <xf numFmtId="2" fontId="234"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2"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09" borderId="40" xfId="0" applyNumberFormat="1" applyFont="1" applyFill="1" applyBorder="1" applyAlignment="1">
      <alignment horizontal="center" vertical="center"/>
    </xf>
    <xf numFmtId="3" fontId="100" fillId="109" borderId="8" xfId="0" applyNumberFormat="1" applyFont="1" applyFill="1" applyBorder="1" applyAlignment="1">
      <alignment horizontal="center" vertical="center"/>
    </xf>
    <xf numFmtId="2" fontId="234"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3" xfId="0" applyNumberFormat="1" applyFont="1" applyFill="1" applyBorder="1" applyAlignment="1">
      <alignment horizontal="center" vertical="center"/>
    </xf>
    <xf numFmtId="1" fontId="18" fillId="14" borderId="273"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2" xfId="0"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1"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1"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35"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1" xfId="0" applyFont="1" applyBorder="1" applyAlignment="1">
      <alignment horizontal="left" vertical="center" wrapText="1"/>
    </xf>
    <xf numFmtId="0" fontId="61" fillId="0" borderId="311"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2" borderId="37" xfId="0" applyNumberFormat="1" applyFont="1" applyFill="1" applyBorder="1" applyAlignment="1">
      <alignment horizontal="center" vertical="center"/>
    </xf>
    <xf numFmtId="1" fontId="101" fillId="122" borderId="273"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7" borderId="37" xfId="1" applyNumberFormat="1" applyFont="1" applyFill="1" applyBorder="1"/>
    <xf numFmtId="168" fontId="61" fillId="117" borderId="7" xfId="1" applyNumberFormat="1" applyFont="1" applyFill="1" applyBorder="1"/>
    <xf numFmtId="168" fontId="61" fillId="117" borderId="6" xfId="1" applyNumberFormat="1" applyFont="1" applyFill="1" applyBorder="1"/>
    <xf numFmtId="0" fontId="1" fillId="0" borderId="0" xfId="0" applyFont="1"/>
    <xf numFmtId="0" fontId="236" fillId="16" borderId="277" xfId="0" applyFont="1" applyFill="1" applyBorder="1" applyAlignment="1">
      <alignment horizontal="center"/>
    </xf>
    <xf numFmtId="0" fontId="236" fillId="16" borderId="129" xfId="0" applyFont="1" applyFill="1" applyBorder="1" applyAlignment="1">
      <alignment horizontal="center"/>
    </xf>
    <xf numFmtId="0" fontId="236" fillId="16" borderId="0" xfId="0" applyFont="1" applyFill="1" applyBorder="1" applyAlignment="1">
      <alignment horizontal="center"/>
    </xf>
    <xf numFmtId="3" fontId="237"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36" fillId="16" borderId="300" xfId="0" applyFont="1" applyFill="1" applyBorder="1" applyAlignment="1">
      <alignment horizontal="center" vertical="center"/>
    </xf>
    <xf numFmtId="0" fontId="236" fillId="16" borderId="158" xfId="0" applyFont="1" applyFill="1" applyBorder="1" applyAlignment="1">
      <alignment horizontal="center" vertical="center"/>
    </xf>
    <xf numFmtId="0" fontId="236" fillId="16" borderId="301" xfId="0" applyFont="1" applyFill="1" applyBorder="1" applyAlignment="1">
      <alignment horizontal="center" vertical="center"/>
    </xf>
    <xf numFmtId="0" fontId="236" fillId="16" borderId="302" xfId="0" applyFont="1" applyFill="1" applyBorder="1" applyAlignment="1">
      <alignment horizontal="center" vertical="center"/>
    </xf>
    <xf numFmtId="0" fontId="236" fillId="16" borderId="73" xfId="0" applyFont="1" applyFill="1" applyBorder="1" applyAlignment="1">
      <alignment horizontal="center" vertical="center"/>
    </xf>
    <xf numFmtId="0" fontId="236" fillId="16" borderId="303" xfId="0" applyFont="1" applyFill="1" applyBorder="1" applyAlignment="1">
      <alignment horizontal="center" vertical="center"/>
    </xf>
    <xf numFmtId="0" fontId="236" fillId="16" borderId="0" xfId="0" applyFont="1" applyFill="1" applyBorder="1" applyAlignment="1">
      <alignment horizontal="center" vertical="center"/>
    </xf>
    <xf numFmtId="0" fontId="236" fillId="16" borderId="150" xfId="0" applyFont="1" applyFill="1" applyBorder="1" applyAlignment="1">
      <alignment horizontal="center" vertical="center"/>
    </xf>
    <xf numFmtId="0" fontId="236" fillId="16" borderId="163" xfId="0" applyFont="1" applyFill="1" applyBorder="1" applyAlignment="1">
      <alignment horizontal="center" vertical="center"/>
    </xf>
    <xf numFmtId="0" fontId="236" fillId="16" borderId="164" xfId="0" applyFont="1" applyFill="1" applyBorder="1" applyAlignment="1">
      <alignment horizontal="center" vertical="center"/>
    </xf>
    <xf numFmtId="0" fontId="236" fillId="16" borderId="165" xfId="0" applyFont="1" applyFill="1" applyBorder="1" applyAlignment="1">
      <alignment horizontal="center" vertical="center"/>
    </xf>
    <xf numFmtId="0" fontId="236" fillId="16" borderId="218" xfId="0" applyFont="1" applyFill="1" applyBorder="1" applyAlignment="1">
      <alignment horizontal="center" vertical="center"/>
    </xf>
    <xf numFmtId="0" fontId="236" fillId="16" borderId="149" xfId="0" applyFont="1" applyFill="1" applyBorder="1" applyAlignment="1">
      <alignment horizontal="center" vertical="center"/>
    </xf>
    <xf numFmtId="0" fontId="236" fillId="16" borderId="23" xfId="0" applyFont="1" applyFill="1" applyBorder="1" applyAlignment="1">
      <alignment horizontal="center" vertical="center"/>
    </xf>
    <xf numFmtId="0" fontId="236"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36" fillId="16" borderId="37" xfId="0" applyFont="1" applyFill="1" applyBorder="1" applyAlignment="1">
      <alignment horizontal="center" vertical="center"/>
    </xf>
    <xf numFmtId="0" fontId="236" fillId="0" borderId="0" xfId="0" applyFont="1" applyFill="1" applyBorder="1" applyAlignment="1">
      <alignment horizontal="center" vertical="center"/>
    </xf>
    <xf numFmtId="0" fontId="238" fillId="0" borderId="28" xfId="0" applyFont="1" applyFill="1" applyBorder="1" applyAlignment="1">
      <alignment horizontal="center" vertical="center"/>
    </xf>
    <xf numFmtId="0" fontId="238" fillId="0" borderId="129" xfId="0" applyFont="1" applyFill="1" applyBorder="1" applyAlignment="1">
      <alignment horizontal="center" vertical="center"/>
    </xf>
    <xf numFmtId="0" fontId="238" fillId="0" borderId="129" xfId="0" applyFont="1" applyFill="1" applyBorder="1" applyAlignment="1">
      <alignment horizontal="center" vertical="center" wrapText="1"/>
    </xf>
    <xf numFmtId="0" fontId="238" fillId="0" borderId="8" xfId="0" applyFont="1" applyFill="1" applyBorder="1" applyAlignment="1">
      <alignment horizontal="center" vertical="center" wrapText="1"/>
    </xf>
    <xf numFmtId="0" fontId="238"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4" xfId="0" applyFont="1" applyFill="1" applyBorder="1" applyAlignment="1">
      <alignment vertical="center"/>
    </xf>
    <xf numFmtId="0" fontId="61" fillId="4" borderId="314" xfId="0" applyFont="1" applyFill="1" applyBorder="1"/>
    <xf numFmtId="0" fontId="61" fillId="4" borderId="343"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7"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8"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7"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4"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5"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6"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7"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7" borderId="35" xfId="0" applyFont="1" applyFill="1" applyBorder="1" applyAlignment="1">
      <alignment horizontal="center" vertical="center"/>
    </xf>
    <xf numFmtId="0" fontId="61" fillId="117"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7" borderId="30" xfId="0" applyFont="1" applyFill="1" applyBorder="1" applyAlignment="1">
      <alignment horizontal="center" vertical="center"/>
    </xf>
    <xf numFmtId="0" fontId="61" fillId="117" borderId="37" xfId="0" applyFont="1" applyFill="1" applyBorder="1" applyAlignment="1">
      <alignment horizontal="center" vertical="center"/>
    </xf>
    <xf numFmtId="0" fontId="61" fillId="117"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7" borderId="7" xfId="0" applyFont="1" applyFill="1" applyBorder="1" applyAlignment="1">
      <alignment horizontal="center" vertical="center"/>
    </xf>
    <xf numFmtId="0" fontId="61" fillId="0" borderId="314"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7" borderId="37" xfId="0" applyNumberFormat="1" applyFont="1" applyFill="1" applyBorder="1"/>
    <xf numFmtId="3" fontId="61" fillId="117" borderId="0" xfId="0" applyNumberFormat="1" applyFont="1" applyFill="1" applyBorder="1"/>
    <xf numFmtId="3" fontId="61" fillId="117" borderId="7" xfId="0" applyNumberFormat="1" applyFont="1" applyFill="1" applyBorder="1"/>
    <xf numFmtId="3" fontId="61" fillId="70" borderId="334" xfId="0" applyNumberFormat="1" applyFont="1" applyFill="1" applyBorder="1"/>
    <xf numFmtId="3" fontId="61" fillId="70" borderId="254" xfId="0" applyNumberFormat="1" applyFont="1" applyFill="1" applyBorder="1"/>
    <xf numFmtId="3" fontId="61" fillId="70" borderId="335" xfId="0" applyNumberFormat="1" applyFont="1" applyFill="1" applyBorder="1"/>
    <xf numFmtId="3" fontId="61" fillId="26" borderId="334" xfId="0" applyNumberFormat="1" applyFont="1" applyFill="1" applyBorder="1"/>
    <xf numFmtId="3" fontId="61" fillId="26" borderId="254" xfId="0" applyNumberFormat="1" applyFont="1" applyFill="1" applyBorder="1"/>
    <xf numFmtId="3" fontId="61" fillId="26" borderId="335" xfId="0" applyNumberFormat="1" applyFont="1" applyFill="1" applyBorder="1"/>
    <xf numFmtId="3" fontId="61" fillId="28" borderId="336"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4" xfId="0" applyNumberFormat="1" applyFont="1" applyFill="1" applyBorder="1"/>
    <xf numFmtId="3" fontId="61" fillId="70" borderId="341" xfId="0" applyNumberFormat="1" applyFont="1" applyFill="1" applyBorder="1"/>
    <xf numFmtId="3" fontId="61" fillId="70" borderId="355" xfId="0" applyNumberFormat="1" applyFont="1" applyFill="1" applyBorder="1"/>
    <xf numFmtId="3" fontId="61" fillId="26" borderId="354" xfId="0" applyNumberFormat="1" applyFont="1" applyFill="1" applyBorder="1"/>
    <xf numFmtId="3" fontId="61" fillId="26" borderId="341" xfId="0" applyNumberFormat="1" applyFont="1" applyFill="1" applyBorder="1"/>
    <xf numFmtId="3" fontId="61" fillId="26" borderId="355" xfId="0" applyNumberFormat="1" applyFont="1" applyFill="1" applyBorder="1"/>
    <xf numFmtId="3" fontId="61" fillId="28" borderId="356" xfId="0" applyNumberFormat="1" applyFont="1" applyFill="1" applyBorder="1"/>
    <xf numFmtId="3" fontId="61" fillId="28" borderId="11" xfId="0" applyNumberFormat="1" applyFont="1" applyFill="1" applyBorder="1"/>
    <xf numFmtId="3" fontId="61" fillId="14" borderId="357" xfId="0" applyNumberFormat="1" applyFont="1" applyFill="1" applyBorder="1"/>
    <xf numFmtId="3" fontId="61" fillId="14" borderId="11" xfId="0" applyNumberFormat="1" applyFont="1" applyFill="1" applyBorder="1"/>
    <xf numFmtId="3" fontId="61" fillId="14" borderId="358" xfId="0" applyNumberFormat="1" applyFont="1" applyFill="1" applyBorder="1"/>
    <xf numFmtId="3" fontId="61" fillId="29" borderId="357" xfId="0" applyNumberFormat="1" applyFont="1" applyFill="1" applyBorder="1"/>
    <xf numFmtId="3" fontId="61" fillId="29" borderId="11" xfId="0" applyNumberFormat="1" applyFont="1" applyFill="1" applyBorder="1"/>
    <xf numFmtId="3" fontId="61" fillId="29" borderId="358"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7" borderId="52" xfId="0" applyNumberFormat="1" applyFont="1" applyFill="1" applyBorder="1"/>
    <xf numFmtId="3" fontId="61" fillId="117" borderId="11" xfId="0" applyNumberFormat="1" applyFont="1" applyFill="1" applyBorder="1"/>
    <xf numFmtId="3" fontId="61" fillId="117"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0" fontId="12" fillId="0" borderId="33" xfId="0" applyFont="1" applyBorder="1"/>
    <xf numFmtId="0" fontId="157" fillId="28" borderId="0" xfId="0" applyFont="1" applyFill="1" applyBorder="1" applyAlignment="1">
      <alignment horizontal="center" vertical="center" wrapText="1"/>
    </xf>
    <xf numFmtId="0" fontId="0" fillId="0" borderId="0" xfId="0" applyFill="1" applyBorder="1"/>
    <xf numFmtId="0" fontId="61" fillId="26" borderId="311" xfId="0" applyFont="1" applyFill="1" applyBorder="1" applyAlignment="1">
      <alignment horizontal="center" vertical="center"/>
    </xf>
    <xf numFmtId="0" fontId="63" fillId="26" borderId="273" xfId="0" applyFont="1" applyFill="1" applyBorder="1" applyAlignment="1">
      <alignment horizontal="center" vertical="center" wrapText="1"/>
    </xf>
    <xf numFmtId="0" fontId="61" fillId="26" borderId="311"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34" fillId="26" borderId="37" xfId="0" applyNumberFormat="1" applyFont="1" applyFill="1" applyBorder="1" applyAlignment="1">
      <alignment horizontal="center" vertical="center"/>
    </xf>
    <xf numFmtId="3" fontId="234" fillId="26" borderId="37" xfId="0" applyNumberFormat="1" applyFont="1" applyFill="1" applyBorder="1" applyAlignment="1">
      <alignment horizontal="center" vertical="center"/>
    </xf>
    <xf numFmtId="9" fontId="234" fillId="26" borderId="37" xfId="2" applyFont="1" applyFill="1" applyBorder="1" applyAlignment="1">
      <alignment horizontal="center" vertical="center"/>
    </xf>
    <xf numFmtId="2" fontId="234" fillId="26" borderId="37" xfId="0" applyNumberFormat="1" applyFont="1" applyFill="1" applyBorder="1" applyAlignment="1">
      <alignment horizontal="center" vertical="center" wrapText="1"/>
    </xf>
    <xf numFmtId="3" fontId="234" fillId="26" borderId="6" xfId="0" applyNumberFormat="1" applyFont="1" applyFill="1" applyBorder="1" applyAlignment="1">
      <alignment horizontal="center" vertical="center"/>
    </xf>
    <xf numFmtId="2" fontId="234"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51" xfId="0" applyFont="1" applyFill="1" applyBorder="1" applyAlignment="1">
      <alignment horizontal="center" vertical="center"/>
    </xf>
    <xf numFmtId="0" fontId="10" fillId="124" borderId="45" xfId="0" applyFont="1" applyFill="1" applyBorder="1" applyAlignment="1">
      <alignment horizontal="center" vertical="top"/>
    </xf>
    <xf numFmtId="0" fontId="20" fillId="124" borderId="51" xfId="0" applyFont="1" applyFill="1" applyBorder="1" applyAlignment="1">
      <alignment horizontal="center" vertical="center" wrapText="1"/>
    </xf>
    <xf numFmtId="9" fontId="12" fillId="124" borderId="55" xfId="0" applyNumberFormat="1" applyFont="1" applyFill="1" applyBorder="1" applyAlignment="1">
      <alignment horizontal="center" vertical="center"/>
    </xf>
    <xf numFmtId="9" fontId="12" fillId="124" borderId="89" xfId="0" applyNumberFormat="1" applyFont="1" applyFill="1" applyBorder="1" applyAlignment="1">
      <alignment horizontal="center" vertical="center"/>
    </xf>
    <xf numFmtId="0" fontId="17" fillId="124" borderId="0" xfId="1" applyNumberFormat="1" applyFont="1" applyFill="1" applyAlignment="1">
      <alignment horizontal="center"/>
    </xf>
    <xf numFmtId="0" fontId="61" fillId="124" borderId="0" xfId="0" applyFont="1" applyFill="1" applyAlignment="1">
      <alignment horizontal="center"/>
    </xf>
    <xf numFmtId="0" fontId="0" fillId="124" borderId="0" xfId="0" applyFill="1" applyAlignment="1">
      <alignment horizontal="center" wrapText="1"/>
    </xf>
    <xf numFmtId="183" fontId="5" fillId="124" borderId="5" xfId="0" applyNumberFormat="1" applyFont="1" applyFill="1" applyBorder="1" applyAlignment="1">
      <alignment horizontal="center"/>
    </xf>
    <xf numFmtId="0" fontId="5" fillId="124" borderId="6" xfId="0" applyFont="1" applyFill="1" applyBorder="1" applyAlignment="1">
      <alignment horizontal="center"/>
    </xf>
    <xf numFmtId="165" fontId="5" fillId="3" borderId="5" xfId="3" applyFont="1" applyFill="1" applyBorder="1"/>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166" fontId="131" fillId="70" borderId="20" xfId="1" applyFont="1" applyFill="1" applyBorder="1" applyAlignment="1">
      <alignment horizontal="right"/>
    </xf>
    <xf numFmtId="0" fontId="239" fillId="0" borderId="0" xfId="7" applyFont="1"/>
    <xf numFmtId="0" fontId="239" fillId="0" borderId="0" xfId="7" applyFont="1" applyAlignment="1">
      <alignment horizontal="center"/>
    </xf>
    <xf numFmtId="3" fontId="239" fillId="0" borderId="0" xfId="7" applyNumberFormat="1" applyFont="1"/>
    <xf numFmtId="0" fontId="239" fillId="0" borderId="0" xfId="7" applyFont="1" applyFill="1"/>
    <xf numFmtId="3" fontId="240" fillId="0" borderId="0" xfId="7" applyNumberFormat="1" applyFont="1" applyFill="1"/>
    <xf numFmtId="0" fontId="241" fillId="0" borderId="0" xfId="7" applyFont="1"/>
    <xf numFmtId="0" fontId="241" fillId="0" borderId="0" xfId="7" applyFont="1" applyAlignment="1">
      <alignment horizontal="center"/>
    </xf>
    <xf numFmtId="3" fontId="241" fillId="0" borderId="0" xfId="7" applyNumberFormat="1" applyFont="1"/>
    <xf numFmtId="0" fontId="241" fillId="0" borderId="0" xfId="7" applyFont="1" applyFill="1"/>
    <xf numFmtId="0" fontId="241" fillId="0" borderId="0" xfId="7"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42" fillId="70" borderId="0" xfId="2"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59"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44" fillId="119" borderId="51" xfId="0" applyNumberFormat="1" applyFont="1" applyFill="1" applyBorder="1"/>
    <xf numFmtId="0" fontId="159" fillId="7" borderId="5" xfId="0" applyFont="1" applyFill="1" applyBorder="1" applyAlignment="1">
      <alignment horizontal="center" vertical="center" wrapText="1"/>
    </xf>
    <xf numFmtId="167" fontId="12" fillId="0" borderId="29" xfId="2" applyNumberFormat="1" applyFont="1" applyFill="1" applyBorder="1"/>
    <xf numFmtId="0" fontId="159" fillId="7" borderId="42" xfId="0" applyFont="1" applyFill="1" applyBorder="1" applyAlignment="1">
      <alignment horizontal="center" vertical="center" wrapText="1"/>
    </xf>
    <xf numFmtId="0" fontId="159" fillId="7" borderId="262" xfId="0" applyFont="1" applyFill="1" applyBorder="1" applyAlignment="1">
      <alignment horizontal="center" vertical="center" wrapText="1"/>
    </xf>
    <xf numFmtId="0" fontId="159" fillId="7" borderId="313"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45" fillId="3" borderId="0" xfId="0" applyFont="1" applyFill="1" applyBorder="1" applyAlignment="1">
      <alignment horizontal="center" vertical="center" wrapText="1"/>
    </xf>
    <xf numFmtId="0" fontId="159" fillId="0" borderId="13" xfId="0" applyFont="1" applyFill="1" applyBorder="1" applyAlignment="1">
      <alignment horizontal="center" vertical="center" wrapText="1"/>
    </xf>
    <xf numFmtId="0" fontId="159" fillId="0" borderId="17" xfId="0" applyFont="1" applyFill="1" applyBorder="1" applyAlignment="1">
      <alignment horizontal="center" vertical="center" wrapText="1"/>
    </xf>
    <xf numFmtId="167" fontId="11" fillId="121"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2"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1" xfId="2" applyNumberFormat="1" applyFont="1" applyFill="1" applyBorder="1" applyAlignment="1">
      <alignment horizontal="center"/>
    </xf>
    <xf numFmtId="167" fontId="12" fillId="0" borderId="268"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16" xfId="1" applyNumberFormat="1" applyFont="1" applyFill="1" applyBorder="1" applyAlignment="1">
      <alignment horizontal="center" vertical="center"/>
    </xf>
    <xf numFmtId="168" fontId="149" fillId="93" borderId="68" xfId="1" applyNumberFormat="1" applyFont="1" applyFill="1" applyBorder="1"/>
    <xf numFmtId="168" fontId="11" fillId="121" borderId="68" xfId="1" applyNumberFormat="1" applyFont="1" applyFill="1" applyBorder="1"/>
    <xf numFmtId="168" fontId="11" fillId="121" borderId="68" xfId="1" applyNumberFormat="1" applyFont="1" applyFill="1" applyBorder="1" applyAlignment="1">
      <alignment horizontal="center"/>
    </xf>
    <xf numFmtId="168" fontId="11" fillId="120" borderId="68" xfId="1" applyNumberFormat="1" applyFont="1" applyFill="1" applyBorder="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1" borderId="262" xfId="1" applyNumberFormat="1" applyFont="1" applyFill="1" applyBorder="1" applyAlignment="1">
      <alignment horizontal="center" vertical="center"/>
    </xf>
    <xf numFmtId="167" fontId="149" fillId="93" borderId="392" xfId="2" applyNumberFormat="1" applyFont="1" applyFill="1" applyBorder="1" applyAlignment="1">
      <alignment horizontal="right" vertical="center" wrapText="1"/>
    </xf>
    <xf numFmtId="168" fontId="149" fillId="93" borderId="8" xfId="1" applyNumberFormat="1" applyFont="1" applyFill="1" applyBorder="1"/>
    <xf numFmtId="167" fontId="11" fillId="121" borderId="8" xfId="2" applyNumberFormat="1" applyFont="1" applyFill="1" applyBorder="1"/>
    <xf numFmtId="167" fontId="11" fillId="121" borderId="8" xfId="2" applyNumberFormat="1" applyFont="1" applyFill="1" applyBorder="1" applyAlignment="1">
      <alignment horizontal="center"/>
    </xf>
    <xf numFmtId="167" fontId="11" fillId="120" borderId="40" xfId="2" applyNumberFormat="1" applyFont="1" applyFill="1" applyBorder="1"/>
    <xf numFmtId="168" fontId="11" fillId="0" borderId="33" xfId="1" applyNumberFormat="1" applyFont="1" applyFill="1" applyBorder="1" applyAlignment="1">
      <alignment horizontal="center" vertical="center"/>
    </xf>
    <xf numFmtId="0" fontId="11" fillId="121" borderId="316" xfId="0" applyFont="1" applyFill="1" applyBorder="1"/>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2" xfId="1" applyNumberFormat="1" applyFont="1" applyFill="1" applyBorder="1" applyAlignment="1">
      <alignment horizontal="center" vertic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6" xfId="0" applyFont="1" applyFill="1" applyBorder="1"/>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2" xfId="1" applyNumberFormat="1" applyFont="1" applyFill="1" applyBorder="1" applyAlignment="1">
      <alignment horizontal="center" vertical="center"/>
    </xf>
    <xf numFmtId="0" fontId="12" fillId="14" borderId="316" xfId="0" applyFont="1" applyFill="1" applyBorder="1"/>
    <xf numFmtId="168" fontId="11" fillId="31" borderId="5" xfId="1" applyNumberFormat="1" applyFont="1" applyFill="1" applyBorder="1"/>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2" xfId="1" applyNumberFormat="1" applyFont="1" applyFill="1" applyBorder="1" applyAlignment="1">
      <alignment horizontal="center" vertic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0" fontId="30" fillId="125" borderId="8" xfId="0" applyFont="1" applyFill="1" applyBorder="1" applyAlignment="1">
      <alignment horizontal="center"/>
    </xf>
    <xf numFmtId="0" fontId="30" fillId="125" borderId="8" xfId="0" applyFont="1" applyFill="1" applyBorder="1" applyAlignment="1">
      <alignment horizontal="center" vertical="center" wrapText="1"/>
    </xf>
    <xf numFmtId="0" fontId="30" fillId="125" borderId="6" xfId="0" applyFont="1" applyFill="1" applyBorder="1" applyAlignment="1">
      <alignment horizontal="center" vertical="center" wrapText="1"/>
    </xf>
    <xf numFmtId="0" fontId="246" fillId="0" borderId="0" xfId="0" applyFont="1" applyFill="1" applyBorder="1" applyAlignment="1">
      <alignment wrapText="1"/>
    </xf>
    <xf numFmtId="0" fontId="17" fillId="126" borderId="13" xfId="0" applyNumberFormat="1" applyFont="1" applyFill="1" applyBorder="1" applyAlignment="1">
      <alignment horizontal="center" vertical="center" wrapText="1"/>
    </xf>
    <xf numFmtId="1" fontId="28" fillId="117" borderId="87" xfId="0" applyNumberFormat="1" applyFont="1" applyFill="1" applyBorder="1" applyAlignment="1">
      <alignment horizontal="center" vertical="center"/>
    </xf>
    <xf numFmtId="167" fontId="11" fillId="118" borderId="52" xfId="2" applyNumberFormat="1" applyFont="1" applyFill="1" applyBorder="1" applyAlignment="1">
      <alignment horizontal="right" vertical="center" wrapText="1"/>
    </xf>
    <xf numFmtId="168" fontId="11" fillId="118" borderId="5" xfId="1" applyNumberFormat="1" applyFont="1" applyFill="1" applyBorder="1"/>
    <xf numFmtId="167" fontId="11" fillId="118" borderId="5" xfId="2" applyNumberFormat="1" applyFont="1" applyFill="1" applyBorder="1"/>
    <xf numFmtId="168" fontId="11" fillId="118" borderId="5" xfId="1" applyNumberFormat="1" applyFont="1" applyFill="1" applyBorder="1" applyAlignment="1">
      <alignment horizontal="center"/>
    </xf>
    <xf numFmtId="0" fontId="12" fillId="118" borderId="29" xfId="0" applyFont="1" applyFill="1" applyBorder="1"/>
    <xf numFmtId="168" fontId="135" fillId="118" borderId="29" xfId="1" applyNumberFormat="1" applyFont="1" applyFill="1" applyBorder="1" applyAlignment="1">
      <alignment horizontal="center" vertical="center"/>
    </xf>
    <xf numFmtId="168" fontId="11" fillId="118" borderId="262" xfId="1" applyNumberFormat="1" applyFont="1" applyFill="1" applyBorder="1" applyAlignment="1">
      <alignment horizontal="center" vertical="center"/>
    </xf>
    <xf numFmtId="167" fontId="11" fillId="118" borderId="40" xfId="2" applyNumberFormat="1" applyFont="1" applyFill="1" applyBorder="1" applyAlignment="1">
      <alignment horizontal="right" vertical="center" wrapText="1"/>
    </xf>
    <xf numFmtId="168" fontId="11" fillId="118" borderId="8" xfId="1" applyNumberFormat="1" applyFont="1" applyFill="1" applyBorder="1"/>
    <xf numFmtId="167" fontId="11" fillId="118" borderId="8" xfId="2" applyNumberFormat="1" applyFont="1" applyFill="1" applyBorder="1"/>
    <xf numFmtId="167" fontId="11" fillId="118" borderId="8" xfId="2" applyNumberFormat="1" applyFont="1" applyFill="1" applyBorder="1" applyAlignment="1">
      <alignment horizontal="center"/>
    </xf>
    <xf numFmtId="0" fontId="12" fillId="118" borderId="33" xfId="0" applyFont="1" applyFill="1" applyBorder="1"/>
    <xf numFmtId="168" fontId="135" fillId="118" borderId="33" xfId="1" applyNumberFormat="1" applyFont="1" applyFill="1" applyBorder="1" applyAlignment="1">
      <alignment horizontal="center" vertical="center"/>
    </xf>
    <xf numFmtId="0" fontId="12" fillId="118" borderId="316" xfId="0" applyFont="1" applyFill="1" applyBorder="1"/>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2"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8"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47" fillId="0" borderId="0" xfId="85" applyFont="1"/>
    <xf numFmtId="0" fontId="55" fillId="0" borderId="0" xfId="85" applyFont="1"/>
    <xf numFmtId="0" fontId="248" fillId="0" borderId="0" xfId="85" applyFont="1"/>
    <xf numFmtId="0" fontId="249" fillId="0" borderId="0" xfId="85" applyFont="1" applyFill="1"/>
    <xf numFmtId="0" fontId="250" fillId="0" borderId="0" xfId="0" applyFont="1" applyFill="1"/>
    <xf numFmtId="0" fontId="248" fillId="0" borderId="0" xfId="85" applyFont="1" applyFill="1"/>
    <xf numFmtId="0" fontId="248" fillId="13" borderId="37" xfId="85" applyFont="1" applyFill="1" applyBorder="1"/>
    <xf numFmtId="0" fontId="248"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51"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52" fillId="0" borderId="0" xfId="85" applyFont="1" applyFill="1" applyAlignment="1">
      <alignment horizontal="center" vertical="center" wrapText="1"/>
    </xf>
    <xf numFmtId="0" fontId="237" fillId="0" borderId="0" xfId="0" applyFont="1" applyFill="1" applyAlignment="1">
      <alignment horizontal="center" vertical="center" wrapText="1"/>
    </xf>
    <xf numFmtId="0" fontId="251"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51" fillId="0" borderId="0" xfId="85" applyFont="1" applyAlignment="1">
      <alignment horizontal="center"/>
    </xf>
    <xf numFmtId="0" fontId="252" fillId="0" borderId="0" xfId="85" applyFont="1" applyFill="1" applyBorder="1" applyAlignment="1">
      <alignment horizontal="center" vertical="center"/>
    </xf>
    <xf numFmtId="0" fontId="252" fillId="0" borderId="0" xfId="85" applyFont="1" applyFill="1" applyAlignment="1">
      <alignment horizontal="center" vertical="center"/>
    </xf>
    <xf numFmtId="0" fontId="237" fillId="0" borderId="0" xfId="0" applyFont="1" applyFill="1" applyAlignment="1">
      <alignment horizontal="center" vertical="center"/>
    </xf>
    <xf numFmtId="0" fontId="251" fillId="0" borderId="0" xfId="85" applyFont="1" applyFill="1" applyAlignment="1">
      <alignment horizontal="center" vertical="center"/>
    </xf>
    <xf numFmtId="0" fontId="251"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51" fillId="15" borderId="0" xfId="0" applyFont="1" applyFill="1" applyAlignment="1">
      <alignment horizontal="center"/>
    </xf>
    <xf numFmtId="0" fontId="253" fillId="0" borderId="0" xfId="85" applyFont="1" applyFill="1" applyBorder="1"/>
    <xf numFmtId="0" fontId="253" fillId="0" borderId="37" xfId="85" applyFont="1" applyFill="1" applyBorder="1"/>
    <xf numFmtId="0" fontId="253"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54" fillId="0" borderId="0" xfId="85" applyFont="1" applyFill="1" applyAlignment="1">
      <alignment horizontal="center"/>
    </xf>
    <xf numFmtId="0" fontId="254" fillId="0" borderId="0" xfId="0" applyFont="1" applyFill="1" applyAlignment="1">
      <alignment horizontal="center"/>
    </xf>
    <xf numFmtId="0" fontId="252" fillId="0" borderId="0" xfId="85" applyFont="1" applyFill="1" applyBorder="1" applyAlignment="1">
      <alignment horizontal="center"/>
    </xf>
    <xf numFmtId="0" fontId="237" fillId="0" borderId="0" xfId="0" applyFont="1" applyFill="1" applyBorder="1" applyAlignment="1">
      <alignment horizontal="center"/>
    </xf>
    <xf numFmtId="0" fontId="255" fillId="0" borderId="0" xfId="85" applyFont="1" applyFill="1" applyBorder="1" applyAlignment="1">
      <alignment horizontal="center"/>
    </xf>
    <xf numFmtId="0" fontId="255" fillId="0" borderId="37" xfId="85" applyFont="1" applyFill="1" applyBorder="1" applyAlignment="1">
      <alignment horizontal="center"/>
    </xf>
    <xf numFmtId="0" fontId="255" fillId="0" borderId="7" xfId="85" applyFont="1" applyFill="1" applyBorder="1" applyAlignment="1">
      <alignment horizontal="center"/>
    </xf>
    <xf numFmtId="0" fontId="30" fillId="9" borderId="6" xfId="85" applyFont="1" applyFill="1" applyBorder="1" applyAlignment="1">
      <alignment horizontal="center"/>
    </xf>
    <xf numFmtId="0" fontId="251" fillId="10" borderId="140" xfId="85" applyFont="1" applyFill="1" applyBorder="1" applyAlignment="1">
      <alignment horizontal="center"/>
    </xf>
    <xf numFmtId="0" fontId="251" fillId="10" borderId="141" xfId="85" applyFont="1" applyFill="1" applyBorder="1" applyAlignment="1">
      <alignment horizontal="center"/>
    </xf>
    <xf numFmtId="0" fontId="251" fillId="71" borderId="36" xfId="85" applyFont="1" applyFill="1" applyBorder="1" applyAlignment="1">
      <alignment horizontal="center"/>
    </xf>
    <xf numFmtId="0" fontId="251" fillId="71" borderId="27" xfId="85" applyFont="1" applyFill="1" applyBorder="1" applyAlignment="1">
      <alignment horizontal="center"/>
    </xf>
    <xf numFmtId="0" fontId="251" fillId="26" borderId="142" xfId="85" applyFont="1" applyFill="1" applyBorder="1" applyAlignment="1">
      <alignment horizontal="center"/>
    </xf>
    <xf numFmtId="0" fontId="251" fillId="26" borderId="143" xfId="85" applyFont="1" applyFill="1" applyBorder="1" applyAlignment="1">
      <alignment horizontal="center"/>
    </xf>
    <xf numFmtId="0" fontId="251" fillId="26" borderId="144" xfId="85" applyFont="1" applyFill="1" applyBorder="1" applyAlignment="1">
      <alignment horizontal="center"/>
    </xf>
    <xf numFmtId="0" fontId="251" fillId="0" borderId="145" xfId="85" applyFont="1" applyFill="1" applyBorder="1" applyAlignment="1">
      <alignment horizontal="center"/>
    </xf>
    <xf numFmtId="0" fontId="251" fillId="0" borderId="146" xfId="85" applyFont="1" applyFill="1" applyBorder="1" applyAlignment="1">
      <alignment horizontal="center"/>
    </xf>
    <xf numFmtId="0" fontId="251" fillId="0" borderId="0" xfId="85" applyFont="1" applyFill="1" applyBorder="1" applyAlignment="1">
      <alignment horizontal="center"/>
    </xf>
    <xf numFmtId="0" fontId="251" fillId="0" borderId="274" xfId="0" applyFont="1" applyFill="1" applyBorder="1" applyAlignment="1">
      <alignment horizontal="center"/>
    </xf>
    <xf numFmtId="0" fontId="251" fillId="0" borderId="275" xfId="0" applyFont="1" applyFill="1" applyBorder="1" applyAlignment="1">
      <alignment horizontal="center"/>
    </xf>
    <xf numFmtId="0" fontId="252"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51" fillId="0" borderId="148" xfId="85" applyFont="1" applyFill="1" applyBorder="1" applyAlignment="1">
      <alignment horizontal="center"/>
    </xf>
    <xf numFmtId="0" fontId="251" fillId="0" borderId="149" xfId="85" applyFont="1" applyFill="1" applyBorder="1" applyAlignment="1">
      <alignment horizontal="center"/>
    </xf>
    <xf numFmtId="0" fontId="251" fillId="0" borderId="150" xfId="85" applyFont="1" applyFill="1" applyBorder="1" applyAlignment="1">
      <alignment horizontal="center"/>
    </xf>
    <xf numFmtId="0" fontId="251" fillId="16" borderId="149" xfId="85" applyFont="1" applyFill="1" applyBorder="1" applyAlignment="1">
      <alignment horizontal="center"/>
    </xf>
    <xf numFmtId="0" fontId="251" fillId="16" borderId="0" xfId="85" applyFont="1" applyFill="1" applyBorder="1" applyAlignment="1">
      <alignment horizontal="center"/>
    </xf>
    <xf numFmtId="0" fontId="251" fillId="16" borderId="23" xfId="85" applyFont="1" applyFill="1" applyBorder="1" applyAlignment="1">
      <alignment horizontal="center"/>
    </xf>
    <xf numFmtId="0" fontId="251" fillId="16" borderId="151" xfId="85" applyFont="1" applyFill="1" applyBorder="1" applyAlignment="1">
      <alignment horizontal="center"/>
    </xf>
    <xf numFmtId="0" fontId="251" fillId="16" borderId="152" xfId="85" applyFont="1" applyFill="1" applyBorder="1" applyAlignment="1">
      <alignment horizontal="center"/>
    </xf>
    <xf numFmtId="0" fontId="251" fillId="16" borderId="153" xfId="85" applyFont="1" applyFill="1" applyBorder="1" applyAlignment="1">
      <alignment horizontal="center"/>
    </xf>
    <xf numFmtId="0" fontId="251" fillId="3" borderId="154" xfId="85" applyFont="1" applyFill="1" applyBorder="1" applyAlignment="1">
      <alignment horizontal="center"/>
    </xf>
    <xf numFmtId="0" fontId="251" fillId="3" borderId="0" xfId="85" applyFont="1" applyFill="1" applyBorder="1" applyAlignment="1">
      <alignment horizontal="center"/>
    </xf>
    <xf numFmtId="0" fontId="251" fillId="95" borderId="0" xfId="0" applyFont="1" applyFill="1" applyBorder="1" applyAlignment="1">
      <alignment horizontal="center"/>
    </xf>
    <xf numFmtId="0" fontId="251" fillId="3" borderId="129" xfId="0" applyFont="1" applyFill="1" applyBorder="1" applyAlignment="1">
      <alignment horizontal="center"/>
    </xf>
    <xf numFmtId="0" fontId="251" fillId="3" borderId="0" xfId="0" applyFont="1" applyFill="1" applyBorder="1" applyAlignment="1">
      <alignment horizontal="center"/>
    </xf>
    <xf numFmtId="0" fontId="252" fillId="0" borderId="156" xfId="85" applyFont="1" applyFill="1" applyBorder="1" applyAlignment="1">
      <alignment horizontal="center"/>
    </xf>
    <xf numFmtId="0" fontId="236" fillId="16" borderId="388" xfId="85" applyFont="1" applyFill="1" applyBorder="1" applyAlignment="1">
      <alignment horizontal="center"/>
    </xf>
    <xf numFmtId="0" fontId="236" fillId="16" borderId="158" xfId="85" applyFont="1" applyFill="1" applyBorder="1" applyAlignment="1">
      <alignment horizontal="center"/>
    </xf>
    <xf numFmtId="0" fontId="236" fillId="16" borderId="159" xfId="85" applyFont="1" applyFill="1" applyBorder="1" applyAlignment="1">
      <alignment horizontal="center"/>
    </xf>
    <xf numFmtId="0" fontId="236" fillId="16" borderId="157" xfId="85" applyFont="1" applyFill="1" applyBorder="1" applyAlignment="1">
      <alignment horizontal="center"/>
    </xf>
    <xf numFmtId="0" fontId="236" fillId="16" borderId="132" xfId="85" applyFont="1" applyFill="1" applyBorder="1" applyAlignment="1">
      <alignment horizontal="center"/>
    </xf>
    <xf numFmtId="0" fontId="236" fillId="16" borderId="73" xfId="85" applyFont="1" applyFill="1" applyBorder="1" applyAlignment="1">
      <alignment horizontal="center"/>
    </xf>
    <xf numFmtId="0" fontId="236" fillId="16" borderId="130" xfId="85" applyFont="1" applyFill="1" applyBorder="1" applyAlignment="1">
      <alignment horizontal="center"/>
    </xf>
    <xf numFmtId="0" fontId="236" fillId="16" borderId="160" xfId="85" applyFont="1" applyFill="1" applyBorder="1" applyAlignment="1">
      <alignment horizontal="center"/>
    </xf>
    <xf numFmtId="0" fontId="236" fillId="16" borderId="161" xfId="85" applyFont="1" applyFill="1" applyBorder="1" applyAlignment="1">
      <alignment horizontal="center"/>
    </xf>
    <xf numFmtId="0" fontId="236" fillId="16" borderId="162" xfId="85" applyFont="1" applyFill="1" applyBorder="1" applyAlignment="1">
      <alignment horizontal="center"/>
    </xf>
    <xf numFmtId="0" fontId="236" fillId="16" borderId="163" xfId="85" applyFont="1" applyFill="1" applyBorder="1" applyAlignment="1">
      <alignment horizontal="center"/>
    </xf>
    <xf numFmtId="0" fontId="236" fillId="16" borderId="164" xfId="85" applyFont="1" applyFill="1" applyBorder="1" applyAlignment="1">
      <alignment horizontal="center"/>
    </xf>
    <xf numFmtId="0" fontId="236" fillId="16" borderId="165" xfId="85" applyFont="1" applyFill="1" applyBorder="1" applyAlignment="1">
      <alignment horizontal="center"/>
    </xf>
    <xf numFmtId="0" fontId="236" fillId="16" borderId="23" xfId="85" applyFont="1" applyFill="1" applyBorder="1" applyAlignment="1">
      <alignment horizontal="center"/>
    </xf>
    <xf numFmtId="0" fontId="236" fillId="16" borderId="0" xfId="85" applyFont="1" applyFill="1" applyBorder="1" applyAlignment="1">
      <alignment horizontal="center"/>
    </xf>
    <xf numFmtId="0" fontId="236" fillId="16" borderId="166" xfId="85" applyFont="1" applyFill="1" applyBorder="1" applyAlignment="1">
      <alignment horizontal="center"/>
    </xf>
    <xf numFmtId="0" fontId="236" fillId="16" borderId="167" xfId="85" applyFont="1" applyFill="1" applyBorder="1" applyAlignment="1">
      <alignment horizontal="center"/>
    </xf>
    <xf numFmtId="0" fontId="252" fillId="0" borderId="28" xfId="85" applyFont="1" applyFill="1" applyBorder="1" applyAlignment="1">
      <alignment horizontal="center"/>
    </xf>
    <xf numFmtId="0" fontId="30" fillId="9" borderId="391"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51" fillId="27" borderId="175" xfId="85" applyNumberFormat="1" applyFont="1" applyFill="1" applyBorder="1"/>
    <xf numFmtId="3" fontId="251" fillId="27" borderId="1" xfId="85" applyNumberFormat="1" applyFont="1" applyFill="1" applyBorder="1"/>
    <xf numFmtId="3" fontId="251" fillId="27" borderId="176" xfId="85" applyNumberFormat="1" applyFont="1" applyFill="1" applyBorder="1"/>
    <xf numFmtId="3" fontId="251" fillId="0" borderId="132" xfId="85" applyNumberFormat="1" applyFont="1" applyBorder="1"/>
    <xf numFmtId="3" fontId="251" fillId="0" borderId="73" xfId="85" applyNumberFormat="1" applyFont="1" applyBorder="1"/>
    <xf numFmtId="3" fontId="251" fillId="76" borderId="73" xfId="85" applyNumberFormat="1" applyFont="1" applyFill="1" applyBorder="1"/>
    <xf numFmtId="3" fontId="251"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56" fillId="16" borderId="100" xfId="0" applyNumberFormat="1" applyFont="1" applyFill="1" applyBorder="1"/>
    <xf numFmtId="3" fontId="256" fillId="16" borderId="182" xfId="0" applyNumberFormat="1" applyFont="1" applyFill="1" applyBorder="1"/>
    <xf numFmtId="3" fontId="256" fillId="16" borderId="77" xfId="0" applyNumberFormat="1" applyFont="1" applyFill="1" applyBorder="1"/>
    <xf numFmtId="3" fontId="256" fillId="16" borderId="278" xfId="0" applyNumberFormat="1" applyFont="1" applyFill="1" applyBorder="1"/>
    <xf numFmtId="3" fontId="256" fillId="16" borderId="0" xfId="0" applyNumberFormat="1" applyFont="1" applyFill="1" applyBorder="1"/>
    <xf numFmtId="3" fontId="252" fillId="0" borderId="32" xfId="85" applyNumberFormat="1" applyFont="1" applyFill="1" applyBorder="1"/>
    <xf numFmtId="3" fontId="252" fillId="15" borderId="77" xfId="85" applyNumberFormat="1" applyFont="1" applyFill="1" applyBorder="1"/>
    <xf numFmtId="3" fontId="250" fillId="0" borderId="79" xfId="0" applyNumberFormat="1" applyFont="1" applyFill="1" applyBorder="1"/>
    <xf numFmtId="3" fontId="30" fillId="75" borderId="389"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51" fillId="27" borderId="187" xfId="85" applyNumberFormat="1" applyFont="1" applyFill="1" applyBorder="1"/>
    <xf numFmtId="3" fontId="251" fillId="27" borderId="188" xfId="85" applyNumberFormat="1" applyFont="1" applyFill="1" applyBorder="1"/>
    <xf numFmtId="3" fontId="251"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56" fillId="16" borderId="279" xfId="0" applyNumberFormat="1" applyFont="1" applyFill="1" applyBorder="1"/>
    <xf numFmtId="3" fontId="256" fillId="16" borderId="280" xfId="0" applyNumberFormat="1" applyFont="1" applyFill="1" applyBorder="1"/>
    <xf numFmtId="3" fontId="256" fillId="16" borderId="281" xfId="0" applyNumberFormat="1" applyFont="1" applyFill="1" applyBorder="1"/>
    <xf numFmtId="3" fontId="256" fillId="16" borderId="282" xfId="0" applyNumberFormat="1" applyFont="1" applyFill="1" applyBorder="1"/>
    <xf numFmtId="3" fontId="256" fillId="16" borderId="283" xfId="0" applyNumberFormat="1" applyFont="1" applyFill="1" applyBorder="1"/>
    <xf numFmtId="3" fontId="256" fillId="16" borderId="286" xfId="0" applyNumberFormat="1" applyFont="1" applyFill="1" applyBorder="1"/>
    <xf numFmtId="3" fontId="252" fillId="0" borderId="79" xfId="85" applyNumberFormat="1" applyFont="1" applyFill="1" applyBorder="1"/>
    <xf numFmtId="0" fontId="30" fillId="0" borderId="6" xfId="85" applyFont="1" applyBorder="1" applyAlignment="1">
      <alignment horizontal="center"/>
    </xf>
    <xf numFmtId="3" fontId="255" fillId="4" borderId="0" xfId="85" applyNumberFormat="1" applyFont="1" applyFill="1" applyBorder="1"/>
    <xf numFmtId="0" fontId="30" fillId="0" borderId="0" xfId="85" applyFont="1"/>
    <xf numFmtId="3" fontId="198" fillId="4" borderId="0" xfId="85" applyNumberFormat="1" applyFont="1" applyFill="1" applyBorder="1"/>
    <xf numFmtId="3" fontId="152" fillId="4" borderId="0" xfId="85" applyNumberFormat="1" applyFont="1" applyFill="1" applyBorder="1"/>
    <xf numFmtId="3" fontId="257" fillId="4" borderId="0" xfId="85" applyNumberFormat="1" applyFont="1" applyFill="1" applyBorder="1"/>
    <xf numFmtId="3" fontId="250" fillId="4" borderId="0" xfId="0" applyNumberFormat="1" applyFont="1" applyFill="1" applyBorder="1"/>
    <xf numFmtId="3" fontId="198" fillId="4" borderId="0" xfId="0" applyNumberFormat="1" applyFont="1" applyFill="1" applyBorder="1"/>
    <xf numFmtId="170" fontId="252" fillId="8" borderId="0" xfId="85" applyNumberFormat="1" applyFont="1" applyFill="1" applyBorder="1" applyAlignment="1">
      <alignment horizontal="center"/>
    </xf>
    <xf numFmtId="170" fontId="252" fillId="15" borderId="0" xfId="85" applyNumberFormat="1" applyFont="1" applyFill="1" applyBorder="1" applyAlignment="1">
      <alignment horizontal="center"/>
    </xf>
    <xf numFmtId="170" fontId="237" fillId="0" borderId="0" xfId="0" applyNumberFormat="1" applyFont="1" applyFill="1" applyBorder="1" applyAlignment="1">
      <alignment horizontal="center"/>
    </xf>
    <xf numFmtId="3" fontId="254" fillId="4" borderId="0" xfId="85" applyNumberFormat="1" applyFont="1" applyFill="1" applyBorder="1"/>
    <xf numFmtId="3" fontId="249" fillId="0" borderId="0" xfId="85" applyNumberFormat="1" applyFont="1" applyFill="1" applyBorder="1"/>
    <xf numFmtId="3" fontId="250" fillId="0" borderId="0" xfId="0" applyNumberFormat="1" applyFont="1" applyFill="1" applyBorder="1"/>
    <xf numFmtId="0" fontId="251" fillId="10" borderId="214" xfId="85" applyFont="1" applyFill="1" applyBorder="1" applyAlignment="1">
      <alignment horizontal="center"/>
    </xf>
    <xf numFmtId="0" fontId="251" fillId="71" borderId="215" xfId="85" applyFont="1" applyFill="1" applyBorder="1" applyAlignment="1">
      <alignment horizontal="center"/>
    </xf>
    <xf numFmtId="0" fontId="251" fillId="71" borderId="141" xfId="85" applyFont="1" applyFill="1" applyBorder="1" applyAlignment="1">
      <alignment horizontal="center"/>
    </xf>
    <xf numFmtId="0" fontId="251" fillId="0" borderId="216" xfId="85" applyFont="1" applyFill="1" applyBorder="1" applyAlignment="1">
      <alignment horizontal="center"/>
    </xf>
    <xf numFmtId="0" fontId="251" fillId="0" borderId="284" xfId="0" applyFont="1" applyFill="1" applyBorder="1" applyAlignment="1">
      <alignment horizontal="center"/>
    </xf>
    <xf numFmtId="0" fontId="251" fillId="0" borderId="143" xfId="0" applyFont="1" applyFill="1" applyBorder="1" applyAlignment="1">
      <alignment horizontal="center"/>
    </xf>
    <xf numFmtId="0" fontId="251" fillId="3" borderId="217" xfId="85" applyFont="1" applyFill="1" applyBorder="1" applyAlignment="1">
      <alignment horizontal="center"/>
    </xf>
    <xf numFmtId="0" fontId="236" fillId="16" borderId="218" xfId="85" applyFont="1" applyFill="1" applyBorder="1" applyAlignment="1">
      <alignment horizontal="center"/>
    </xf>
    <xf numFmtId="0" fontId="236"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48"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52" fillId="0" borderId="0" xfId="85" applyNumberFormat="1" applyFont="1" applyBorder="1" applyAlignment="1">
      <alignment horizontal="center"/>
    </xf>
    <xf numFmtId="170" fontId="252" fillId="0" borderId="0" xfId="85" applyNumberFormat="1" applyFont="1" applyAlignment="1">
      <alignment horizontal="center"/>
    </xf>
    <xf numFmtId="3" fontId="61" fillId="0" borderId="155" xfId="85" applyNumberFormat="1" applyFont="1" applyBorder="1"/>
    <xf numFmtId="3" fontId="248" fillId="0" borderId="155" xfId="85" applyNumberFormat="1" applyFont="1" applyBorder="1"/>
    <xf numFmtId="3" fontId="249" fillId="0" borderId="0" xfId="85" applyNumberFormat="1" applyFont="1" applyBorder="1"/>
    <xf numFmtId="3" fontId="249" fillId="0" borderId="0" xfId="85" applyNumberFormat="1" applyFont="1"/>
    <xf numFmtId="3" fontId="250" fillId="0" borderId="0" xfId="0" applyNumberFormat="1" applyFont="1" applyFill="1"/>
    <xf numFmtId="0" fontId="251"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56" fillId="16" borderId="131" xfId="0" applyNumberFormat="1" applyFont="1" applyFill="1" applyBorder="1"/>
    <xf numFmtId="3" fontId="256"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56" fillId="16" borderId="77" xfId="0" applyNumberFormat="1" applyFont="1" applyFill="1" applyBorder="1" applyAlignment="1">
      <alignment horizontal="center"/>
    </xf>
    <xf numFmtId="3" fontId="256" fillId="16" borderId="100" xfId="0" applyNumberFormat="1" applyFont="1" applyFill="1" applyBorder="1" applyAlignment="1">
      <alignment horizontal="center"/>
    </xf>
    <xf numFmtId="3" fontId="256" fillId="16" borderId="278" xfId="0" applyNumberFormat="1" applyFont="1" applyFill="1" applyBorder="1" applyAlignment="1">
      <alignment horizontal="center"/>
    </xf>
    <xf numFmtId="3" fontId="256"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48" fillId="0" borderId="155" xfId="85" applyFont="1" applyBorder="1"/>
    <xf numFmtId="0" fontId="248" fillId="0" borderId="0" xfId="85" applyFont="1" applyBorder="1"/>
    <xf numFmtId="0" fontId="249" fillId="0" borderId="0" xfId="85" applyFont="1" applyFill="1" applyBorder="1"/>
    <xf numFmtId="0" fontId="254" fillId="0" borderId="149" xfId="85" applyFont="1" applyFill="1" applyBorder="1" applyAlignment="1">
      <alignment horizontal="center"/>
    </xf>
    <xf numFmtId="0" fontId="254" fillId="0" borderId="0" xfId="85" applyFont="1" applyFill="1" applyBorder="1" applyAlignment="1">
      <alignment horizontal="center"/>
    </xf>
    <xf numFmtId="0" fontId="254" fillId="0" borderId="150" xfId="85" applyFont="1" applyFill="1" applyBorder="1" applyAlignment="1">
      <alignment horizontal="center"/>
    </xf>
    <xf numFmtId="0" fontId="236" fillId="16" borderId="225" xfId="85" applyFont="1" applyFill="1" applyBorder="1" applyAlignment="1">
      <alignment horizontal="center"/>
    </xf>
    <xf numFmtId="3" fontId="251"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56" fillId="16" borderId="285" xfId="0" applyNumberFormat="1" applyFont="1" applyFill="1" applyBorder="1"/>
    <xf numFmtId="3" fontId="30" fillId="16" borderId="182" xfId="0" applyNumberFormat="1" applyFont="1" applyFill="1" applyBorder="1"/>
    <xf numFmtId="3" fontId="30" fillId="16" borderId="278" xfId="0" applyNumberFormat="1" applyFont="1" applyFill="1" applyBorder="1"/>
    <xf numFmtId="3" fontId="30" fillId="16" borderId="0" xfId="0" applyNumberFormat="1" applyFont="1" applyFill="1" applyBorder="1"/>
    <xf numFmtId="3" fontId="30" fillId="16" borderId="278" xfId="0" applyNumberFormat="1" applyFont="1" applyFill="1" applyBorder="1" applyAlignment="1">
      <alignment horizontal="right"/>
    </xf>
    <xf numFmtId="3" fontId="30" fillId="16" borderId="0" xfId="0" applyNumberFormat="1" applyFont="1" applyFill="1" applyBorder="1" applyAlignment="1">
      <alignment horizontal="right"/>
    </xf>
    <xf numFmtId="3" fontId="251" fillId="27" borderId="227" xfId="85" applyNumberFormat="1" applyFont="1" applyFill="1" applyBorder="1"/>
    <xf numFmtId="3" fontId="30" fillId="16" borderId="228" xfId="85" applyNumberFormat="1" applyFont="1" applyFill="1" applyBorder="1"/>
    <xf numFmtId="3" fontId="30" fillId="16" borderId="282" xfId="0" applyNumberFormat="1" applyFont="1" applyFill="1" applyBorder="1"/>
    <xf numFmtId="3" fontId="30" fillId="16" borderId="283" xfId="0" applyNumberFormat="1" applyFont="1" applyFill="1" applyBorder="1" applyAlignment="1">
      <alignment horizontal="right"/>
    </xf>
    <xf numFmtId="3" fontId="30" fillId="16" borderId="286" xfId="0" applyNumberFormat="1" applyFont="1" applyFill="1" applyBorder="1" applyAlignment="1">
      <alignment horizontal="right"/>
    </xf>
    <xf numFmtId="0" fontId="254" fillId="0" borderId="0" xfId="85" applyFont="1" applyFill="1"/>
    <xf numFmtId="3" fontId="255" fillId="0" borderId="6" xfId="85" applyNumberFormat="1" applyFont="1" applyBorder="1" applyAlignment="1">
      <alignment horizontal="center"/>
    </xf>
    <xf numFmtId="3" fontId="254" fillId="0" borderId="0" xfId="85" applyNumberFormat="1" applyFont="1" applyBorder="1"/>
    <xf numFmtId="0" fontId="254" fillId="0" borderId="0" xfId="85" applyFont="1" applyBorder="1"/>
    <xf numFmtId="3" fontId="258" fillId="0" borderId="0" xfId="85" applyNumberFormat="1" applyFont="1" applyBorder="1"/>
    <xf numFmtId="3" fontId="258" fillId="0" borderId="0" xfId="0" applyNumberFormat="1" applyFont="1" applyBorder="1"/>
    <xf numFmtId="3" fontId="258" fillId="0" borderId="0" xfId="85" applyNumberFormat="1" applyFont="1" applyFill="1" applyBorder="1"/>
    <xf numFmtId="3" fontId="258" fillId="0" borderId="37" xfId="85" applyNumberFormat="1" applyFont="1" applyFill="1" applyBorder="1"/>
    <xf numFmtId="3" fontId="258" fillId="0" borderId="7" xfId="85" applyNumberFormat="1" applyFont="1" applyFill="1" applyBorder="1"/>
    <xf numFmtId="0" fontId="61" fillId="0" borderId="0" xfId="85" applyFont="1" applyFill="1" applyAlignment="1">
      <alignment vertical="center"/>
    </xf>
    <xf numFmtId="0" fontId="251" fillId="5" borderId="35" xfId="0" applyFont="1" applyFill="1" applyBorder="1" applyAlignment="1">
      <alignment horizontal="center" vertical="center"/>
    </xf>
    <xf numFmtId="0" fontId="251" fillId="5" borderId="29" xfId="0" applyFont="1" applyFill="1" applyBorder="1" applyAlignment="1">
      <alignment horizontal="center" vertical="center"/>
    </xf>
    <xf numFmtId="0" fontId="251" fillId="8" borderId="75" xfId="0" applyFont="1" applyFill="1" applyBorder="1" applyAlignment="1">
      <alignment horizontal="center" vertical="center"/>
    </xf>
    <xf numFmtId="0" fontId="251" fillId="8" borderId="76" xfId="0" applyFont="1" applyFill="1" applyBorder="1" applyAlignment="1">
      <alignment horizontal="center" vertical="center"/>
    </xf>
    <xf numFmtId="0" fontId="251" fillId="8" borderId="378" xfId="0" applyFont="1" applyFill="1" applyBorder="1" applyAlignment="1">
      <alignment horizontal="center" vertical="center"/>
    </xf>
    <xf numFmtId="0" fontId="251" fillId="8" borderId="378" xfId="0" applyFont="1" applyFill="1" applyBorder="1" applyAlignment="1">
      <alignment horizontal="center" vertical="center" wrapText="1"/>
    </xf>
    <xf numFmtId="0" fontId="251" fillId="8" borderId="383" xfId="0" applyFont="1" applyFill="1" applyBorder="1" applyAlignment="1">
      <alignment horizontal="center" vertical="center" wrapText="1"/>
    </xf>
    <xf numFmtId="0" fontId="251" fillId="3" borderId="41" xfId="0" applyFont="1" applyFill="1" applyBorder="1" applyAlignment="1">
      <alignment horizontal="center" vertical="center" wrapText="1"/>
    </xf>
    <xf numFmtId="0" fontId="254" fillId="0" borderId="0" xfId="0" applyFont="1" applyFill="1" applyBorder="1" applyAlignment="1">
      <alignment horizontal="center" vertical="center"/>
    </xf>
    <xf numFmtId="0" fontId="254" fillId="0" borderId="63" xfId="0" applyFont="1" applyFill="1" applyBorder="1" applyAlignment="1">
      <alignment horizontal="center" vertical="center"/>
    </xf>
    <xf numFmtId="0" fontId="254" fillId="0" borderId="23" xfId="0" applyFont="1" applyFill="1" applyBorder="1" applyAlignment="1">
      <alignment horizontal="center" vertical="center"/>
    </xf>
    <xf numFmtId="0" fontId="254" fillId="0" borderId="150" xfId="0" applyFont="1" applyFill="1" applyBorder="1" applyAlignment="1">
      <alignment horizontal="center" vertical="center"/>
    </xf>
    <xf numFmtId="0" fontId="251" fillId="0" borderId="149"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150" xfId="0" applyFont="1" applyFill="1" applyBorder="1" applyAlignment="1">
      <alignment horizontal="center" vertical="center"/>
    </xf>
    <xf numFmtId="0" fontId="251" fillId="16" borderId="298" xfId="0" applyFont="1" applyFill="1" applyBorder="1" applyAlignment="1">
      <alignment horizontal="center" vertical="center"/>
    </xf>
    <xf numFmtId="0" fontId="251" fillId="16" borderId="152" xfId="0" applyFont="1" applyFill="1" applyBorder="1" applyAlignment="1">
      <alignment horizontal="center" vertical="center"/>
    </xf>
    <xf numFmtId="0" fontId="251" fillId="16" borderId="299" xfId="0" applyFont="1" applyFill="1" applyBorder="1" applyAlignment="1">
      <alignment horizontal="center" vertical="center"/>
    </xf>
    <xf numFmtId="0" fontId="251" fillId="70" borderId="23" xfId="0" applyFont="1" applyFill="1" applyBorder="1" applyAlignment="1">
      <alignment horizontal="center" vertical="center"/>
    </xf>
    <xf numFmtId="0" fontId="251" fillId="70" borderId="0" xfId="0" applyFont="1" applyFill="1" applyBorder="1" applyAlignment="1">
      <alignment horizontal="center" vertical="center"/>
    </xf>
    <xf numFmtId="0" fontId="251" fillId="70" borderId="63" xfId="0" applyFont="1" applyFill="1" applyBorder="1" applyAlignment="1">
      <alignment horizontal="center" vertical="center"/>
    </xf>
    <xf numFmtId="0" fontId="251" fillId="14" borderId="23" xfId="0" applyFont="1" applyFill="1" applyBorder="1" applyAlignment="1">
      <alignment horizontal="center" vertical="center"/>
    </xf>
    <xf numFmtId="0" fontId="251" fillId="14" borderId="0" xfId="0" applyFont="1" applyFill="1" applyBorder="1" applyAlignment="1">
      <alignment horizontal="center" vertical="center"/>
    </xf>
    <xf numFmtId="0" fontId="251" fillId="14" borderId="63" xfId="0" applyFont="1" applyFill="1" applyBorder="1" applyAlignment="1">
      <alignment horizontal="center" vertical="center"/>
    </xf>
    <xf numFmtId="0" fontId="251" fillId="3" borderId="23" xfId="0" applyFont="1" applyFill="1" applyBorder="1" applyAlignment="1">
      <alignment horizontal="center" vertical="center"/>
    </xf>
    <xf numFmtId="0" fontId="251" fillId="3" borderId="0" xfId="0" applyFont="1" applyFill="1" applyBorder="1" applyAlignment="1">
      <alignment horizontal="center" vertical="center"/>
    </xf>
    <xf numFmtId="0" fontId="251" fillId="16" borderId="37" xfId="0" applyFont="1" applyFill="1" applyBorder="1" applyAlignment="1">
      <alignment horizontal="center" vertical="center"/>
    </xf>
    <xf numFmtId="0" fontId="251" fillId="16" borderId="0" xfId="0" applyFont="1" applyFill="1" applyBorder="1" applyAlignment="1">
      <alignment horizontal="center" vertical="center"/>
    </xf>
    <xf numFmtId="0" fontId="255" fillId="0" borderId="129" xfId="0" applyFont="1" applyFill="1" applyBorder="1" applyAlignment="1">
      <alignment horizontal="center" vertical="center"/>
    </xf>
    <xf numFmtId="0" fontId="255" fillId="0" borderId="0" xfId="0" applyFont="1" applyFill="1" applyBorder="1" applyAlignment="1">
      <alignment horizontal="center" vertical="center"/>
    </xf>
    <xf numFmtId="0" fontId="255" fillId="0" borderId="6" xfId="0" applyFont="1" applyFill="1" applyBorder="1" applyAlignment="1">
      <alignment horizontal="center" vertical="center"/>
    </xf>
    <xf numFmtId="0" fontId="255" fillId="26" borderId="6" xfId="0" applyFont="1" applyFill="1" applyBorder="1" applyAlignment="1">
      <alignment horizontal="center" vertical="center"/>
    </xf>
    <xf numFmtId="0" fontId="236" fillId="16" borderId="388" xfId="0" applyFont="1" applyFill="1" applyBorder="1" applyAlignment="1">
      <alignment horizontal="center" vertical="center"/>
    </xf>
    <xf numFmtId="0" fontId="30" fillId="14" borderId="0" xfId="85" applyFont="1" applyFill="1"/>
    <xf numFmtId="0" fontId="61" fillId="31" borderId="390" xfId="85" applyFont="1" applyFill="1" applyBorder="1"/>
    <xf numFmtId="3" fontId="30" fillId="75" borderId="304" xfId="0" applyNumberFormat="1" applyFont="1" applyFill="1" applyBorder="1"/>
    <xf numFmtId="3" fontId="30" fillId="75" borderId="1" xfId="0" applyNumberFormat="1" applyFont="1" applyFill="1" applyBorder="1"/>
    <xf numFmtId="3" fontId="30" fillId="75" borderId="305" xfId="0" applyNumberFormat="1" applyFont="1" applyFill="1" applyBorder="1"/>
    <xf numFmtId="3" fontId="251" fillId="27" borderId="304" xfId="0" applyNumberFormat="1" applyFont="1" applyFill="1" applyBorder="1"/>
    <xf numFmtId="3" fontId="251" fillId="27" borderId="1" xfId="0" applyNumberFormat="1" applyFont="1" applyFill="1" applyBorder="1"/>
    <xf numFmtId="3" fontId="251" fillId="27" borderId="305" xfId="0" applyNumberFormat="1" applyFont="1" applyFill="1" applyBorder="1"/>
    <xf numFmtId="3" fontId="251" fillId="0" borderId="302" xfId="0" applyNumberFormat="1" applyFont="1" applyBorder="1"/>
    <xf numFmtId="3" fontId="251" fillId="0" borderId="73" xfId="0" applyNumberFormat="1" applyFont="1" applyBorder="1"/>
    <xf numFmtId="3" fontId="251" fillId="0" borderId="303" xfId="0" applyNumberFormat="1" applyFont="1" applyBorder="1"/>
    <xf numFmtId="3" fontId="251" fillId="76" borderId="302" xfId="0" applyNumberFormat="1" applyFont="1" applyFill="1" applyBorder="1"/>
    <xf numFmtId="3" fontId="251" fillId="76" borderId="73" xfId="0" applyNumberFormat="1" applyFont="1" applyFill="1" applyBorder="1"/>
    <xf numFmtId="3" fontId="251" fillId="76" borderId="303"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2" xfId="0" applyNumberFormat="1" applyFont="1" applyFill="1" applyBorder="1"/>
    <xf numFmtId="3" fontId="30" fillId="16" borderId="73" xfId="0" applyNumberFormat="1" applyFont="1" applyFill="1" applyBorder="1"/>
    <xf numFmtId="3" fontId="30" fillId="16" borderId="303" xfId="0" applyNumberFormat="1" applyFont="1" applyFill="1" applyBorder="1"/>
    <xf numFmtId="3" fontId="26" fillId="16" borderId="293"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4" xfId="0" applyNumberFormat="1" applyFont="1" applyFill="1" applyBorder="1"/>
    <xf numFmtId="3" fontId="256" fillId="16" borderId="293" xfId="0" applyNumberFormat="1" applyFont="1" applyFill="1" applyBorder="1"/>
    <xf numFmtId="3" fontId="1" fillId="0" borderId="0" xfId="0" applyNumberFormat="1" applyFont="1" applyAlignment="1">
      <alignment vertical="center"/>
    </xf>
    <xf numFmtId="3" fontId="251" fillId="0" borderId="31" xfId="0" applyNumberFormat="1" applyFont="1" applyFill="1" applyBorder="1"/>
    <xf numFmtId="3" fontId="251" fillId="0" borderId="32" xfId="0" applyNumberFormat="1" applyFont="1" applyFill="1" applyBorder="1"/>
    <xf numFmtId="3" fontId="251" fillId="0" borderId="4" xfId="0" applyNumberFormat="1" applyFont="1" applyFill="1" applyBorder="1"/>
    <xf numFmtId="3" fontId="251" fillId="16" borderId="13" xfId="0" applyNumberFormat="1" applyFont="1" applyFill="1" applyBorder="1"/>
    <xf numFmtId="3" fontId="251" fillId="16" borderId="24" xfId="0" applyNumberFormat="1" applyFont="1" applyFill="1" applyBorder="1"/>
    <xf numFmtId="3" fontId="251" fillId="16" borderId="108" xfId="0" applyNumberFormat="1" applyFont="1" applyFill="1" applyBorder="1"/>
    <xf numFmtId="3" fontId="251" fillId="26" borderId="6" xfId="0" applyNumberFormat="1" applyFont="1" applyFill="1" applyBorder="1"/>
    <xf numFmtId="3" fontId="259"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5"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51" fillId="70" borderId="13" xfId="0" applyNumberFormat="1" applyFont="1" applyFill="1" applyBorder="1"/>
    <xf numFmtId="3" fontId="251" fillId="70" borderId="24" xfId="0" applyNumberFormat="1" applyFont="1" applyFill="1" applyBorder="1"/>
    <xf numFmtId="3" fontId="251" fillId="70" borderId="70" xfId="0" applyNumberFormat="1" applyFont="1" applyFill="1" applyBorder="1"/>
    <xf numFmtId="3" fontId="251" fillId="26" borderId="70" xfId="0" applyNumberFormat="1" applyFont="1" applyFill="1" applyBorder="1"/>
    <xf numFmtId="10" fontId="61" fillId="26" borderId="19" xfId="2" applyNumberFormat="1" applyFont="1" applyFill="1" applyBorder="1" applyAlignment="1">
      <alignment horizontal="center" vertical="center"/>
    </xf>
    <xf numFmtId="3" fontId="251"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19" xfId="85" applyFont="1" applyFill="1" applyBorder="1"/>
    <xf numFmtId="3" fontId="30" fillId="75" borderId="320" xfId="0" applyNumberFormat="1" applyFont="1" applyFill="1" applyBorder="1"/>
    <xf numFmtId="3" fontId="30" fillId="75" borderId="254" xfId="0" applyNumberFormat="1" applyFont="1" applyFill="1" applyBorder="1"/>
    <xf numFmtId="3" fontId="30" fillId="75" borderId="321" xfId="0" applyNumberFormat="1" applyFont="1" applyFill="1" applyBorder="1"/>
    <xf numFmtId="3" fontId="251" fillId="27" borderId="320" xfId="0" applyNumberFormat="1" applyFont="1" applyFill="1" applyBorder="1"/>
    <xf numFmtId="3" fontId="251" fillId="27" borderId="254" xfId="0" applyNumberFormat="1" applyFont="1" applyFill="1" applyBorder="1"/>
    <xf numFmtId="3" fontId="251" fillId="27" borderId="321" xfId="0" applyNumberFormat="1" applyFont="1" applyFill="1" applyBorder="1"/>
    <xf numFmtId="3" fontId="251" fillId="0" borderId="322" xfId="0" applyNumberFormat="1" applyFont="1" applyBorder="1"/>
    <xf numFmtId="3" fontId="251" fillId="0" borderId="323" xfId="0" applyNumberFormat="1" applyFont="1" applyBorder="1"/>
    <xf numFmtId="3" fontId="251" fillId="0" borderId="324" xfId="0" applyNumberFormat="1" applyFont="1" applyBorder="1"/>
    <xf numFmtId="3" fontId="251" fillId="76" borderId="322" xfId="0" applyNumberFormat="1" applyFont="1" applyFill="1" applyBorder="1"/>
    <xf numFmtId="3" fontId="251" fillId="76" borderId="323" xfId="0" applyNumberFormat="1" applyFont="1" applyFill="1" applyBorder="1"/>
    <xf numFmtId="3" fontId="251" fillId="76" borderId="324" xfId="0" applyNumberFormat="1" applyFont="1" applyFill="1" applyBorder="1"/>
    <xf numFmtId="3" fontId="30" fillId="1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2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173" xfId="0" applyNumberFormat="1" applyFont="1" applyFill="1" applyBorder="1"/>
    <xf numFmtId="3" fontId="26" fillId="16" borderId="332" xfId="0" applyNumberFormat="1" applyFont="1" applyFill="1" applyBorder="1"/>
    <xf numFmtId="3" fontId="26" fillId="16" borderId="173" xfId="0" applyNumberFormat="1" applyFont="1" applyFill="1" applyBorder="1"/>
    <xf numFmtId="3" fontId="26" fillId="16" borderId="330" xfId="0" applyNumberFormat="1" applyFont="1" applyFill="1" applyBorder="1"/>
    <xf numFmtId="3" fontId="152" fillId="16" borderId="330" xfId="0" applyNumberFormat="1" applyFont="1" applyFill="1" applyBorder="1"/>
    <xf numFmtId="3" fontId="26" fillId="16" borderId="333" xfId="0" applyNumberFormat="1" applyFont="1" applyFill="1" applyBorder="1"/>
    <xf numFmtId="3" fontId="256" fillId="16" borderId="332" xfId="0" applyNumberFormat="1" applyFont="1" applyFill="1" applyBorder="1"/>
    <xf numFmtId="3" fontId="256" fillId="16" borderId="173" xfId="0" applyNumberFormat="1" applyFont="1" applyFill="1" applyBorder="1"/>
    <xf numFmtId="3" fontId="256" fillId="16" borderId="330" xfId="0" applyNumberFormat="1" applyFont="1" applyFill="1" applyBorder="1"/>
    <xf numFmtId="3" fontId="256" fillId="16" borderId="331" xfId="0" applyNumberFormat="1" applyFont="1" applyFill="1" applyBorder="1"/>
    <xf numFmtId="3" fontId="251" fillId="0" borderId="337" xfId="0" applyNumberFormat="1" applyFont="1" applyFill="1" applyBorder="1"/>
    <xf numFmtId="3" fontId="251" fillId="0" borderId="338" xfId="0" applyNumberFormat="1" applyFont="1" applyFill="1" applyBorder="1"/>
    <xf numFmtId="3" fontId="251" fillId="0" borderId="319" xfId="0" applyNumberFormat="1" applyFont="1" applyFill="1" applyBorder="1"/>
    <xf numFmtId="3" fontId="251" fillId="16" borderId="17" xfId="0" applyNumberFormat="1" applyFont="1" applyFill="1" applyBorder="1"/>
    <xf numFmtId="3" fontId="251" fillId="16" borderId="36" xfId="0" applyNumberFormat="1" applyFont="1" applyFill="1" applyBorder="1"/>
    <xf numFmtId="3" fontId="251" fillId="16" borderId="81" xfId="0" applyNumberFormat="1" applyFont="1" applyFill="1" applyBorder="1"/>
    <xf numFmtId="3" fontId="259" fillId="16" borderId="81" xfId="0" applyNumberFormat="1" applyFont="1" applyFill="1" applyBorder="1"/>
    <xf numFmtId="10" fontId="61" fillId="0" borderId="315" xfId="2" applyNumberFormat="1" applyFont="1" applyFill="1" applyBorder="1"/>
    <xf numFmtId="10" fontId="61" fillId="0" borderId="253" xfId="2" applyNumberFormat="1" applyFont="1" applyFill="1" applyBorder="1"/>
    <xf numFmtId="0" fontId="260" fillId="17" borderId="52" xfId="85" applyFont="1" applyFill="1" applyBorder="1"/>
    <xf numFmtId="0" fontId="260" fillId="0" borderId="11" xfId="85" applyFont="1" applyFill="1" applyBorder="1"/>
    <xf numFmtId="0" fontId="261" fillId="0" borderId="339" xfId="85" applyFont="1" applyFill="1" applyBorder="1"/>
    <xf numFmtId="3" fontId="30" fillId="75" borderId="340" xfId="0" applyNumberFormat="1" applyFont="1" applyFill="1" applyBorder="1"/>
    <xf numFmtId="3" fontId="30" fillId="75" borderId="341" xfId="0" applyNumberFormat="1" applyFont="1" applyFill="1" applyBorder="1"/>
    <xf numFmtId="3" fontId="30" fillId="75" borderId="342" xfId="0" applyNumberFormat="1" applyFont="1" applyFill="1" applyBorder="1"/>
    <xf numFmtId="3" fontId="251" fillId="27" borderId="340" xfId="0" applyNumberFormat="1" applyFont="1" applyFill="1" applyBorder="1"/>
    <xf numFmtId="3" fontId="251" fillId="27" borderId="341" xfId="0" applyNumberFormat="1" applyFont="1" applyFill="1" applyBorder="1"/>
    <xf numFmtId="3" fontId="251" fillId="27" borderId="342" xfId="0" applyNumberFormat="1" applyFont="1" applyFill="1" applyBorder="1"/>
    <xf numFmtId="3" fontId="251" fillId="0" borderId="343" xfId="0" applyNumberFormat="1" applyFont="1" applyBorder="1"/>
    <xf numFmtId="3" fontId="251" fillId="0" borderId="97" xfId="0" applyNumberFormat="1" applyFont="1" applyBorder="1"/>
    <xf numFmtId="3" fontId="251" fillId="0" borderId="344" xfId="0" applyNumberFormat="1" applyFont="1" applyBorder="1"/>
    <xf numFmtId="3" fontId="251" fillId="76" borderId="343" xfId="0" applyNumberFormat="1" applyFont="1" applyFill="1" applyBorder="1"/>
    <xf numFmtId="3" fontId="251" fillId="76" borderId="97" xfId="0" applyNumberFormat="1" applyFont="1" applyFill="1" applyBorder="1"/>
    <xf numFmtId="3" fontId="251" fillId="76" borderId="344" xfId="0" applyNumberFormat="1" applyFont="1" applyFill="1" applyBorder="1"/>
    <xf numFmtId="3" fontId="30" fillId="16" borderId="11" xfId="0" applyNumberFormat="1" applyFont="1" applyFill="1" applyBorder="1"/>
    <xf numFmtId="3" fontId="30" fillId="16" borderId="345"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43" xfId="0" applyNumberFormat="1" applyFont="1" applyFill="1" applyBorder="1"/>
    <xf numFmtId="3" fontId="30" fillId="16" borderId="97" xfId="0" applyNumberFormat="1" applyFont="1" applyFill="1" applyBorder="1"/>
    <xf numFmtId="3" fontId="30" fillId="16" borderId="344" xfId="0" applyNumberFormat="1" applyFont="1" applyFill="1" applyBorder="1"/>
    <xf numFmtId="3" fontId="30" fillId="16" borderId="353" xfId="0" applyNumberFormat="1" applyFont="1" applyFill="1" applyBorder="1"/>
    <xf numFmtId="3" fontId="26" fillId="16" borderId="87" xfId="0" applyNumberFormat="1" applyFont="1" applyFill="1" applyBorder="1"/>
    <xf numFmtId="3" fontId="26" fillId="16" borderId="352" xfId="0" applyNumberFormat="1" applyFont="1" applyFill="1" applyBorder="1"/>
    <xf numFmtId="3" fontId="26" fillId="16" borderId="351" xfId="0" applyNumberFormat="1" applyFont="1" applyFill="1" applyBorder="1"/>
    <xf numFmtId="3" fontId="152" fillId="16" borderId="351" xfId="0" applyNumberFormat="1" applyFont="1" applyFill="1" applyBorder="1"/>
    <xf numFmtId="3" fontId="26" fillId="16" borderId="353" xfId="0" applyNumberFormat="1" applyFont="1" applyFill="1" applyBorder="1"/>
    <xf numFmtId="3" fontId="256" fillId="16" borderId="87" xfId="0" applyNumberFormat="1" applyFont="1" applyFill="1" applyBorder="1"/>
    <xf numFmtId="3" fontId="256" fillId="16" borderId="352" xfId="0" applyNumberFormat="1" applyFont="1" applyFill="1" applyBorder="1"/>
    <xf numFmtId="3" fontId="256" fillId="16" borderId="351" xfId="0" applyNumberFormat="1" applyFont="1" applyFill="1" applyBorder="1"/>
    <xf numFmtId="3" fontId="256" fillId="16" borderId="52" xfId="0" applyNumberFormat="1" applyFont="1" applyFill="1" applyBorder="1"/>
    <xf numFmtId="3" fontId="251" fillId="0" borderId="359" xfId="0" applyNumberFormat="1" applyFont="1" applyFill="1" applyBorder="1"/>
    <xf numFmtId="3" fontId="251" fillId="0" borderId="360" xfId="0" applyNumberFormat="1" applyFont="1" applyFill="1" applyBorder="1"/>
    <xf numFmtId="3" fontId="251" fillId="0" borderId="339" xfId="0" applyNumberFormat="1" applyFont="1" applyFill="1" applyBorder="1"/>
    <xf numFmtId="3" fontId="251" fillId="0" borderId="5" xfId="0" applyNumberFormat="1" applyFont="1" applyFill="1" applyBorder="1"/>
    <xf numFmtId="3" fontId="251" fillId="3" borderId="5" xfId="0" applyNumberFormat="1" applyFont="1" applyFill="1" applyBorder="1"/>
    <xf numFmtId="3" fontId="259"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5"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54" fillId="17" borderId="0" xfId="85" applyFont="1" applyFill="1"/>
    <xf numFmtId="3" fontId="61" fillId="0" borderId="0" xfId="85" applyNumberFormat="1" applyFont="1" applyBorder="1" applyAlignment="1">
      <alignment horizontal="center"/>
    </xf>
    <xf numFmtId="9" fontId="258" fillId="0" borderId="37" xfId="2" applyFont="1" applyBorder="1"/>
    <xf numFmtId="9" fontId="258" fillId="0" borderId="0" xfId="2" applyFont="1" applyBorder="1"/>
    <xf numFmtId="9" fontId="258" fillId="0" borderId="0" xfId="2" applyNumberFormat="1" applyFont="1" applyBorder="1"/>
    <xf numFmtId="9" fontId="258" fillId="0" borderId="7" xfId="2" applyNumberFormat="1" applyFont="1" applyBorder="1"/>
    <xf numFmtId="9" fontId="252" fillId="0" borderId="0" xfId="2" applyFont="1" applyBorder="1" applyAlignment="1">
      <alignment horizontal="center"/>
    </xf>
    <xf numFmtId="167" fontId="252" fillId="0" borderId="0" xfId="2" applyNumberFormat="1" applyFont="1" applyBorder="1" applyAlignment="1">
      <alignment horizontal="center"/>
    </xf>
    <xf numFmtId="167" fontId="252"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49" fillId="17" borderId="0" xfId="85" applyFont="1" applyFill="1"/>
    <xf numFmtId="0" fontId="250" fillId="17" borderId="0" xfId="0" applyFont="1" applyFill="1"/>
    <xf numFmtId="0" fontId="250" fillId="17" borderId="6" xfId="0" applyFont="1" applyFill="1" applyBorder="1"/>
    <xf numFmtId="0" fontId="250" fillId="26" borderId="6" xfId="0" applyFont="1" applyFill="1" applyBorder="1"/>
    <xf numFmtId="0" fontId="262" fillId="0" borderId="0" xfId="85" applyFont="1" applyFill="1" applyBorder="1" applyAlignment="1">
      <alignment horizontal="center" vertical="center"/>
    </xf>
    <xf numFmtId="3" fontId="262" fillId="16" borderId="0" xfId="0" applyNumberFormat="1" applyFont="1" applyFill="1" applyBorder="1" applyAlignment="1">
      <alignment horizontal="center" vertical="center"/>
    </xf>
    <xf numFmtId="3" fontId="262" fillId="0" borderId="0" xfId="85" applyNumberFormat="1" applyFont="1" applyFill="1" applyBorder="1" applyAlignment="1">
      <alignment horizontal="center" vertical="center"/>
    </xf>
    <xf numFmtId="3" fontId="262" fillId="0" borderId="0" xfId="0" applyNumberFormat="1" applyFont="1" applyFill="1" applyBorder="1" applyAlignment="1">
      <alignment horizontal="center" vertical="center"/>
    </xf>
    <xf numFmtId="3" fontId="262" fillId="0" borderId="0" xfId="0" applyNumberFormat="1" applyFont="1" applyFill="1" applyBorder="1" applyAlignment="1">
      <alignment horizontal="center" vertical="center" wrapText="1"/>
    </xf>
    <xf numFmtId="3" fontId="262" fillId="0" borderId="37" xfId="0" applyNumberFormat="1" applyFont="1" applyFill="1" applyBorder="1" applyAlignment="1">
      <alignment horizontal="center" vertical="center"/>
    </xf>
    <xf numFmtId="3" fontId="262" fillId="0" borderId="7" xfId="0" applyNumberFormat="1" applyFont="1" applyFill="1" applyBorder="1" applyAlignment="1">
      <alignment horizontal="center" vertical="center"/>
    </xf>
    <xf numFmtId="3" fontId="262" fillId="117" borderId="0" xfId="0" applyNumberFormat="1" applyFont="1" applyFill="1" applyBorder="1" applyAlignment="1">
      <alignment horizontal="center" vertical="center"/>
    </xf>
    <xf numFmtId="3" fontId="262" fillId="26" borderId="0" xfId="0" applyNumberFormat="1" applyFont="1" applyFill="1" applyBorder="1" applyAlignment="1">
      <alignment horizontal="center" vertical="center"/>
    </xf>
    <xf numFmtId="0" fontId="262" fillId="0" borderId="0" xfId="0" applyFont="1" applyAlignment="1">
      <alignment horizontal="center" vertical="center"/>
    </xf>
    <xf numFmtId="0" fontId="262" fillId="4" borderId="0" xfId="85" applyFont="1" applyFill="1" applyBorder="1" applyAlignment="1">
      <alignment horizontal="center" vertical="center"/>
    </xf>
    <xf numFmtId="0" fontId="262" fillId="4" borderId="0" xfId="0" applyFont="1" applyFill="1" applyBorder="1" applyAlignment="1">
      <alignment horizontal="center" vertical="center"/>
    </xf>
    <xf numFmtId="3" fontId="262" fillId="0" borderId="6" xfId="85" applyNumberFormat="1" applyFont="1" applyFill="1" applyBorder="1" applyAlignment="1">
      <alignment horizontal="center" vertical="center"/>
    </xf>
    <xf numFmtId="0" fontId="262"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51" fillId="27" borderId="230" xfId="1" applyNumberFormat="1" applyFont="1" applyFill="1" applyBorder="1" applyAlignment="1">
      <alignment vertical="center" wrapText="1"/>
    </xf>
    <xf numFmtId="168" fontId="251" fillId="27" borderId="231" xfId="1" applyNumberFormat="1" applyFont="1" applyFill="1" applyBorder="1" applyAlignment="1">
      <alignment vertical="center" wrapText="1"/>
    </xf>
    <xf numFmtId="168" fontId="251" fillId="27" borderId="232" xfId="1" applyNumberFormat="1" applyFont="1" applyFill="1" applyBorder="1" applyAlignment="1">
      <alignment vertical="center" wrapText="1"/>
    </xf>
    <xf numFmtId="168" fontId="251" fillId="91" borderId="233" xfId="1" applyNumberFormat="1" applyFont="1" applyFill="1" applyBorder="1" applyAlignment="1">
      <alignment vertical="center" wrapText="1"/>
    </xf>
    <xf numFmtId="168" fontId="251" fillId="91" borderId="234" xfId="1" applyNumberFormat="1" applyFont="1" applyFill="1" applyBorder="1" applyAlignment="1">
      <alignment vertical="center" wrapText="1"/>
    </xf>
    <xf numFmtId="168" fontId="251" fillId="86" borderId="234" xfId="1" applyNumberFormat="1" applyFont="1" applyFill="1" applyBorder="1" applyAlignment="1">
      <alignment vertical="center" wrapText="1"/>
    </xf>
    <xf numFmtId="168" fontId="251"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51" fillId="27" borderId="0" xfId="1" applyNumberFormat="1" applyFont="1" applyFill="1" applyBorder="1" applyAlignment="1">
      <alignment vertical="center" wrapText="1"/>
    </xf>
    <xf numFmtId="168" fontId="251" fillId="91" borderId="0" xfId="1" applyNumberFormat="1" applyFont="1" applyFill="1" applyBorder="1" applyAlignment="1">
      <alignment vertical="center" wrapText="1"/>
    </xf>
    <xf numFmtId="168" fontId="251"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54"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52" fillId="0" borderId="33" xfId="2" applyFont="1" applyBorder="1" applyAlignment="1">
      <alignment horizontal="center" vertical="center"/>
    </xf>
    <xf numFmtId="167" fontId="252" fillId="0" borderId="33" xfId="2" applyNumberFormat="1" applyFont="1" applyBorder="1" applyAlignment="1">
      <alignment horizontal="center" vertical="center"/>
    </xf>
    <xf numFmtId="167" fontId="252" fillId="0" borderId="40" xfId="2" applyNumberFormat="1" applyFont="1" applyBorder="1" applyAlignment="1">
      <alignment horizontal="center" vertical="center"/>
    </xf>
    <xf numFmtId="167" fontId="252"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63"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64"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62"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0" fontId="267" fillId="0" borderId="68" xfId="0" applyFont="1" applyBorder="1"/>
    <xf numFmtId="0" fontId="267" fillId="0" borderId="70" xfId="0" applyFont="1" applyBorder="1"/>
    <xf numFmtId="0" fontId="268" fillId="0" borderId="81" xfId="0" applyFont="1" applyBorder="1"/>
    <xf numFmtId="0" fontId="268" fillId="0" borderId="71" xfId="0" applyFont="1" applyBorder="1"/>
    <xf numFmtId="0" fontId="26" fillId="38" borderId="5" xfId="0" applyFont="1" applyFill="1" applyBorder="1" applyAlignment="1">
      <alignment horizontal="right"/>
    </xf>
    <xf numFmtId="0" fontId="26" fillId="115"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7"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59" fillId="3" borderId="108" xfId="0" applyFont="1" applyFill="1" applyBorder="1" applyAlignment="1">
      <alignment horizontal="center" vertical="center"/>
    </xf>
    <xf numFmtId="0" fontId="251" fillId="10" borderId="139" xfId="85" applyFont="1" applyFill="1" applyBorder="1" applyAlignment="1">
      <alignment horizontal="center"/>
    </xf>
    <xf numFmtId="0" fontId="61" fillId="14" borderId="0" xfId="85" applyFont="1" applyFill="1" applyBorder="1" applyAlignment="1">
      <alignment horizontal="center"/>
    </xf>
    <xf numFmtId="0" fontId="251" fillId="9" borderId="0" xfId="85" applyFont="1" applyFill="1" applyAlignment="1">
      <alignment horizontal="center"/>
    </xf>
    <xf numFmtId="0" fontId="252"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36" fillId="16" borderId="394" xfId="0" applyFont="1" applyFill="1" applyBorder="1" applyAlignment="1">
      <alignment horizontal="center" vertical="center"/>
    </xf>
    <xf numFmtId="0" fontId="236" fillId="16" borderId="118" xfId="0" applyFont="1" applyFill="1" applyBorder="1" applyAlignment="1">
      <alignment horizontal="center" vertical="center"/>
    </xf>
    <xf numFmtId="0" fontId="236" fillId="16" borderId="395" xfId="0" applyFont="1" applyFill="1" applyBorder="1" applyAlignment="1">
      <alignment horizontal="center" vertical="center"/>
    </xf>
    <xf numFmtId="0" fontId="236" fillId="16" borderId="396" xfId="0" applyFont="1" applyFill="1" applyBorder="1" applyAlignment="1">
      <alignment horizontal="center" vertical="center"/>
    </xf>
    <xf numFmtId="0" fontId="236" fillId="16" borderId="397" xfId="0" applyFont="1" applyFill="1" applyBorder="1" applyAlignment="1">
      <alignment horizontal="center" vertical="center"/>
    </xf>
    <xf numFmtId="0" fontId="61" fillId="16" borderId="398"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38" fillId="0" borderId="156" xfId="0" applyFont="1" applyFill="1" applyBorder="1" applyAlignment="1">
      <alignment horizontal="center" vertical="center"/>
    </xf>
    <xf numFmtId="0" fontId="238" fillId="0" borderId="0" xfId="0" applyFont="1" applyFill="1" applyBorder="1" applyAlignment="1">
      <alignment horizontal="center" vertical="center"/>
    </xf>
    <xf numFmtId="0" fontId="238" fillId="0" borderId="0" xfId="0" applyFont="1" applyFill="1" applyBorder="1" applyAlignment="1">
      <alignment horizontal="center" vertical="center" wrapText="1"/>
    </xf>
    <xf numFmtId="0" fontId="238" fillId="0" borderId="6" xfId="0" applyFont="1" applyFill="1" applyBorder="1" applyAlignment="1">
      <alignment horizontal="center" vertical="center" wrapText="1"/>
    </xf>
    <xf numFmtId="0" fontId="238"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43" fillId="70" borderId="313" xfId="4" applyNumberFormat="1" applyFont="1" applyFill="1" applyBorder="1" applyAlignment="1" applyProtection="1">
      <alignment horizontal="center" vertical="center" wrapText="1"/>
    </xf>
    <xf numFmtId="10" fontId="243" fillId="70" borderId="45" xfId="4" applyNumberFormat="1" applyFont="1" applyFill="1" applyBorder="1" applyAlignment="1" applyProtection="1">
      <alignment horizontal="center" vertical="center" wrapText="1"/>
    </xf>
    <xf numFmtId="3" fontId="139" fillId="70" borderId="315" xfId="0" applyNumberFormat="1" applyFont="1" applyFill="1" applyBorder="1"/>
    <xf numFmtId="0" fontId="52" fillId="0" borderId="0" xfId="7" applyFont="1"/>
    <xf numFmtId="3" fontId="52" fillId="0" borderId="0" xfId="7" applyNumberFormat="1" applyFont="1"/>
    <xf numFmtId="3" fontId="269" fillId="0" borderId="0" xfId="7" applyNumberFormat="1" applyFont="1"/>
    <xf numFmtId="0" fontId="240" fillId="0" borderId="0" xfId="7" applyFont="1" applyFill="1"/>
    <xf numFmtId="0" fontId="240" fillId="0" borderId="0" xfId="7" applyFont="1" applyFill="1" applyAlignment="1">
      <alignment horizontal="center"/>
    </xf>
    <xf numFmtId="168" fontId="5" fillId="0" borderId="401"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40" xfId="0" applyFont="1" applyFill="1" applyBorder="1" applyAlignment="1">
      <alignment horizontal="center" vertical="center"/>
    </xf>
    <xf numFmtId="168" fontId="7" fillId="124" borderId="33" xfId="1" applyNumberFormat="1" applyFont="1" applyFill="1" applyBorder="1" applyAlignment="1">
      <alignment horizontal="center" vertical="center"/>
    </xf>
    <xf numFmtId="0" fontId="176" fillId="124" borderId="33" xfId="0" applyFont="1" applyFill="1" applyBorder="1" applyAlignment="1">
      <alignment horizontal="center" wrapText="1"/>
    </xf>
    <xf numFmtId="9" fontId="7" fillId="124" borderId="33" xfId="2" applyFont="1" applyFill="1" applyBorder="1" applyAlignment="1">
      <alignment vertical="center"/>
    </xf>
    <xf numFmtId="0" fontId="7" fillId="124" borderId="9" xfId="0" applyFont="1" applyFill="1" applyBorder="1" applyAlignment="1">
      <alignment horizontal="center" vertic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168" fontId="206" fillId="0" borderId="257" xfId="1" applyNumberFormat="1" applyFont="1" applyFill="1" applyBorder="1" applyAlignment="1">
      <alignment horizontal="center" vertical="center"/>
    </xf>
    <xf numFmtId="0" fontId="270" fillId="0" borderId="0" xfId="0" applyFont="1" applyFill="1" applyBorder="1" applyAlignment="1">
      <alignment horizontal="center" vertical="center"/>
    </xf>
    <xf numFmtId="9" fontId="206" fillId="0" borderId="0" xfId="2" applyFont="1" applyFill="1" applyBorder="1"/>
    <xf numFmtId="0" fontId="206" fillId="0" borderId="7" xfId="0" applyFont="1" applyFill="1" applyBorder="1" applyAlignment="1">
      <alignment horizontal="center" vertical="center"/>
    </xf>
    <xf numFmtId="9" fontId="206" fillId="0" borderId="0" xfId="2" applyFont="1" applyFill="1" applyBorder="1" applyAlignment="1">
      <alignment vertical="center"/>
    </xf>
    <xf numFmtId="168" fontId="206" fillId="117" borderId="257"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0" fontId="110" fillId="0" borderId="0" xfId="0" applyFont="1" applyFill="1" applyAlignment="1">
      <alignment horizontal="center"/>
    </xf>
    <xf numFmtId="0" fontId="61" fillId="26" borderId="0" xfId="0" applyFont="1" applyFill="1" applyAlignment="1">
      <alignment horizontal="left" vertical="center" indent="2"/>
    </xf>
    <xf numFmtId="2" fontId="30" fillId="26" borderId="0" xfId="0" applyNumberFormat="1" applyFont="1" applyFill="1"/>
    <xf numFmtId="167" fontId="11" fillId="130" borderId="37" xfId="2" applyNumberFormat="1" applyFont="1" applyFill="1" applyBorder="1" applyAlignment="1">
      <alignment horizontal="center" vertical="center" wrapText="1"/>
    </xf>
    <xf numFmtId="167" fontId="12" fillId="130" borderId="128" xfId="2" applyNumberFormat="1" applyFont="1" applyFill="1" applyBorder="1" applyAlignment="1">
      <alignment horizontal="center" wrapText="1"/>
    </xf>
    <xf numFmtId="167" fontId="12" fillId="130" borderId="6" xfId="2" applyNumberFormat="1" applyFont="1" applyFill="1" applyBorder="1" applyAlignment="1">
      <alignment horizontal="center"/>
    </xf>
    <xf numFmtId="167" fontId="12" fillId="130" borderId="37" xfId="2" applyNumberFormat="1" applyFont="1" applyFill="1" applyBorder="1" applyAlignment="1">
      <alignment horizontal="center"/>
    </xf>
    <xf numFmtId="167" fontId="12" fillId="130" borderId="37" xfId="2" applyNumberFormat="1" applyFont="1" applyFill="1" applyBorder="1" applyAlignment="1"/>
    <xf numFmtId="0" fontId="12" fillId="130" borderId="0" xfId="0" applyFont="1" applyFill="1" applyBorder="1"/>
    <xf numFmtId="168" fontId="135" fillId="130" borderId="0" xfId="1" applyNumberFormat="1" applyFont="1" applyFill="1" applyBorder="1" applyAlignment="1">
      <alignment horizontal="center" vertical="center"/>
    </xf>
    <xf numFmtId="167" fontId="12" fillId="130" borderId="19" xfId="2" applyNumberFormat="1" applyFont="1" applyFill="1" applyBorder="1" applyAlignment="1"/>
    <xf numFmtId="167" fontId="12" fillId="130" borderId="23" xfId="2" applyNumberFormat="1" applyFont="1" applyFill="1" applyBorder="1" applyAlignment="1"/>
    <xf numFmtId="168" fontId="135" fillId="130" borderId="89" xfId="1" applyNumberFormat="1" applyFont="1" applyFill="1" applyBorder="1" applyAlignment="1">
      <alignment horizontal="center" vertical="center"/>
    </xf>
    <xf numFmtId="167" fontId="11" fillId="130" borderId="52" xfId="2" applyNumberFormat="1" applyFont="1" applyFill="1" applyBorder="1" applyAlignment="1">
      <alignment horizontal="right" vertical="center" wrapText="1"/>
    </xf>
    <xf numFmtId="168" fontId="11" fillId="130" borderId="5" xfId="1" applyNumberFormat="1" applyFont="1" applyFill="1" applyBorder="1"/>
    <xf numFmtId="167" fontId="11" fillId="130" borderId="5" xfId="2" applyNumberFormat="1" applyFont="1" applyFill="1" applyBorder="1"/>
    <xf numFmtId="0" fontId="12" fillId="130" borderId="29" xfId="0" applyFont="1" applyFill="1" applyBorder="1"/>
    <xf numFmtId="168" fontId="135" fillId="130" borderId="29" xfId="1" applyNumberFormat="1" applyFont="1" applyFill="1" applyBorder="1" applyAlignment="1">
      <alignment horizontal="center" vertical="center"/>
    </xf>
    <xf numFmtId="168" fontId="11" fillId="130" borderId="262" xfId="1" applyNumberFormat="1" applyFont="1" applyFill="1" applyBorder="1" applyAlignment="1">
      <alignment horizontal="center" vertical="center"/>
    </xf>
    <xf numFmtId="167" fontId="11" fillId="130" borderId="40" xfId="2" applyNumberFormat="1" applyFont="1" applyFill="1" applyBorder="1" applyAlignment="1">
      <alignment horizontal="right" vertical="center" wrapText="1"/>
    </xf>
    <xf numFmtId="168" fontId="11" fillId="130" borderId="8" xfId="1" applyNumberFormat="1" applyFont="1" applyFill="1" applyBorder="1"/>
    <xf numFmtId="167" fontId="11" fillId="130" borderId="8" xfId="2" applyNumberFormat="1" applyFont="1" applyFill="1" applyBorder="1"/>
    <xf numFmtId="167" fontId="11" fillId="130" borderId="8" xfId="2" applyNumberFormat="1" applyFont="1" applyFill="1" applyBorder="1" applyAlignment="1">
      <alignment horizontal="center"/>
    </xf>
    <xf numFmtId="0" fontId="12" fillId="130" borderId="33" xfId="0" applyFont="1" applyFill="1" applyBorder="1"/>
    <xf numFmtId="168" fontId="135" fillId="130" borderId="33" xfId="1" applyNumberFormat="1" applyFont="1" applyFill="1" applyBorder="1" applyAlignment="1">
      <alignment horizontal="center" vertical="center"/>
    </xf>
    <xf numFmtId="168" fontId="11" fillId="130" borderId="316"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2" fontId="0" fillId="23" borderId="402" xfId="0" applyNumberFormat="1" applyFont="1" applyFill="1" applyBorder="1" applyAlignment="1">
      <alignment horizontal="center"/>
    </xf>
    <xf numFmtId="2" fontId="26" fillId="71" borderId="403"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4"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0" fillId="25" borderId="29" xfId="0" applyFont="1" applyFill="1" applyBorder="1" applyAlignment="1">
      <alignment horizontal="right"/>
    </xf>
    <xf numFmtId="2" fontId="0" fillId="23" borderId="405" xfId="0" applyNumberFormat="1" applyFont="1" applyFill="1" applyBorder="1" applyAlignment="1">
      <alignment horizontal="center"/>
    </xf>
    <xf numFmtId="2" fontId="0" fillId="23" borderId="406" xfId="0" applyNumberFormat="1" applyFont="1" applyFill="1" applyBorder="1" applyAlignment="1">
      <alignment horizontal="center"/>
    </xf>
    <xf numFmtId="2" fontId="0" fillId="0" borderId="407"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0" fontId="151" fillId="24" borderId="40" xfId="0" applyFont="1" applyFill="1" applyBorder="1" applyAlignment="1">
      <alignment horizontal="left" vertical="center"/>
    </xf>
    <xf numFmtId="0" fontId="200" fillId="25" borderId="33" xfId="0" applyFont="1" applyFill="1" applyBorder="1" applyAlignment="1">
      <alignment horizontal="right"/>
    </xf>
    <xf numFmtId="2" fontId="0" fillId="2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0" borderId="412" xfId="0" applyNumberFormat="1" applyFont="1" applyFill="1" applyBorder="1" applyAlignment="1">
      <alignment horizontal="center"/>
    </xf>
    <xf numFmtId="2" fontId="0" fillId="3" borderId="412" xfId="0" applyNumberFormat="1" applyFont="1" applyFill="1" applyBorder="1" applyAlignment="1">
      <alignment horizontal="center"/>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09" xfId="0" applyNumberFormat="1" applyFont="1" applyFill="1" applyBorder="1" applyAlignment="1">
      <alignment horizontal="center"/>
    </xf>
    <xf numFmtId="2" fontId="0" fillId="3" borderId="404" xfId="0" applyNumberFormat="1" applyFont="1" applyFill="1" applyBorder="1" applyAlignment="1">
      <alignment horizontal="center"/>
    </xf>
    <xf numFmtId="2" fontId="0" fillId="3" borderId="414" xfId="0" applyNumberFormat="1" applyFont="1" applyFill="1" applyBorder="1" applyAlignment="1">
      <alignment horizontal="center"/>
    </xf>
    <xf numFmtId="2" fontId="26" fillId="3" borderId="5" xfId="0" applyNumberFormat="1" applyFont="1" applyFill="1" applyBorder="1" applyAlignment="1">
      <alignment horizontal="center"/>
    </xf>
    <xf numFmtId="166" fontId="100" fillId="85" borderId="37" xfId="1" applyFont="1" applyFill="1" applyBorder="1" applyAlignment="1">
      <alignment horizontal="center" vertical="center"/>
    </xf>
    <xf numFmtId="3" fontId="233" fillId="0" borderId="0" xfId="0" applyNumberFormat="1" applyFont="1" applyAlignment="1">
      <alignment horizontal="center"/>
    </xf>
    <xf numFmtId="0" fontId="123" fillId="131" borderId="5" xfId="0" applyFont="1" applyFill="1" applyBorder="1" applyAlignment="1">
      <alignment horizontal="center" vertical="center" wrapText="1"/>
    </xf>
    <xf numFmtId="3" fontId="271" fillId="3" borderId="6" xfId="67" applyNumberFormat="1" applyFont="1" applyFill="1" applyBorder="1" applyAlignment="1">
      <alignment horizontal="right"/>
    </xf>
    <xf numFmtId="3" fontId="272" fillId="3" borderId="5" xfId="67" applyNumberFormat="1" applyFont="1" applyFill="1" applyBorder="1" applyAlignment="1">
      <alignment horizontal="right"/>
    </xf>
    <xf numFmtId="0" fontId="139" fillId="131" borderId="272" xfId="0" applyFont="1" applyFill="1" applyBorder="1" applyAlignment="1">
      <alignment horizontal="center" vertical="center" wrapText="1"/>
    </xf>
    <xf numFmtId="0" fontId="131" fillId="131" borderId="313" xfId="0" applyFont="1" applyFill="1" applyBorder="1" applyAlignment="1">
      <alignment horizontal="center" vertical="center" wrapText="1"/>
    </xf>
    <xf numFmtId="3" fontId="139" fillId="70" borderId="392" xfId="0" applyNumberFormat="1" applyFont="1" applyFill="1" applyBorder="1"/>
    <xf numFmtId="166" fontId="139" fillId="70" borderId="315" xfId="1" applyFont="1" applyFill="1" applyBorder="1"/>
    <xf numFmtId="10" fontId="273" fillId="70" borderId="380" xfId="4" applyNumberFormat="1" applyFont="1" applyFill="1" applyBorder="1" applyAlignment="1" applyProtection="1">
      <alignment horizontal="center" vertical="center" wrapText="1"/>
    </xf>
    <xf numFmtId="3" fontId="139" fillId="131" borderId="49" xfId="0" applyNumberFormat="1" applyFont="1" applyFill="1" applyBorder="1"/>
    <xf numFmtId="3" fontId="139" fillId="131" borderId="50" xfId="0" applyNumberFormat="1" applyFont="1" applyFill="1" applyBorder="1"/>
    <xf numFmtId="3" fontId="274" fillId="14" borderId="42" xfId="67" applyNumberFormat="1" applyFont="1" applyFill="1" applyBorder="1" applyAlignment="1">
      <alignment horizontal="right"/>
    </xf>
    <xf numFmtId="3" fontId="274" fillId="14" borderId="268" xfId="67" applyNumberFormat="1" applyFont="1" applyFill="1" applyBorder="1" applyAlignment="1">
      <alignment horizontal="right"/>
    </xf>
    <xf numFmtId="3" fontId="274" fillId="14" borderId="20" xfId="67" applyNumberFormat="1" applyFont="1" applyFill="1" applyBorder="1" applyAlignment="1">
      <alignment horizontal="right"/>
    </xf>
    <xf numFmtId="10" fontId="273" fillId="14" borderId="45" xfId="4" applyNumberFormat="1" applyFont="1" applyFill="1" applyBorder="1" applyAlignment="1" applyProtection="1">
      <alignment horizontal="center" vertical="center" wrapText="1"/>
    </xf>
    <xf numFmtId="166" fontId="226" fillId="14" borderId="20" xfId="1" applyFont="1" applyFill="1" applyBorder="1" applyAlignment="1">
      <alignment horizontal="right"/>
    </xf>
    <xf numFmtId="167" fontId="131" fillId="14" borderId="7" xfId="2" applyNumberFormat="1" applyFont="1" applyFill="1" applyBorder="1"/>
    <xf numFmtId="3" fontId="131" fillId="31" borderId="52" xfId="0" applyNumberFormat="1" applyFont="1" applyFill="1" applyBorder="1"/>
    <xf numFmtId="167" fontId="131" fillId="31" borderId="11" xfId="2" applyNumberFormat="1" applyFont="1" applyFill="1" applyBorder="1"/>
    <xf numFmtId="167" fontId="131" fillId="31" borderId="83" xfId="2" applyNumberFormat="1" applyFont="1" applyFill="1" applyBorder="1"/>
    <xf numFmtId="3" fontId="275" fillId="14" borderId="37" xfId="0" applyNumberFormat="1" applyFont="1" applyFill="1" applyBorder="1"/>
    <xf numFmtId="0" fontId="276" fillId="5" borderId="35" xfId="0" applyFont="1" applyFill="1" applyBorder="1" applyAlignment="1">
      <alignment horizontal="center" vertical="center" wrapText="1"/>
    </xf>
    <xf numFmtId="0" fontId="276" fillId="5" borderId="29" xfId="0" applyFont="1" applyFill="1" applyBorder="1" applyAlignment="1">
      <alignment horizontal="center" vertical="center" wrapText="1"/>
    </xf>
    <xf numFmtId="0" fontId="276" fillId="5" borderId="30" xfId="0" applyFont="1" applyFill="1" applyBorder="1" applyAlignment="1">
      <alignment horizontal="center" vertical="center" wrapText="1"/>
    </xf>
    <xf numFmtId="0" fontId="97" fillId="31" borderId="0" xfId="0" applyFont="1" applyFill="1" applyAlignment="1">
      <alignment horizontal="center" vertical="center" wrapText="1"/>
    </xf>
    <xf numFmtId="0" fontId="159" fillId="31" borderId="5" xfId="0" applyFont="1" applyFill="1" applyBorder="1" applyAlignment="1">
      <alignment horizontal="center" vertical="center" wrapText="1"/>
    </xf>
    <xf numFmtId="10" fontId="30" fillId="70" borderId="13"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11" fillId="0" borderId="13" xfId="0" applyFont="1" applyFill="1" applyBorder="1" applyAlignment="1">
      <alignment vertical="center" wrapText="1"/>
    </xf>
    <xf numFmtId="9" fontId="61" fillId="14" borderId="25" xfId="2" applyFont="1" applyFill="1" applyBorder="1" applyAlignment="1">
      <alignment horizontal="center" vertical="center"/>
    </xf>
    <xf numFmtId="9" fontId="61" fillId="26" borderId="25" xfId="2" applyFont="1" applyFill="1" applyBorder="1" applyAlignment="1">
      <alignment horizontal="center" vertical="center"/>
    </xf>
    <xf numFmtId="10" fontId="61" fillId="26" borderId="25" xfId="2" applyNumberFormat="1" applyFont="1" applyFill="1" applyBorder="1" applyAlignment="1">
      <alignment horizontal="center" vertical="center"/>
    </xf>
    <xf numFmtId="10" fontId="61" fillId="14" borderId="25" xfId="2" applyNumberFormat="1" applyFont="1" applyFill="1" applyBorder="1" applyAlignment="1">
      <alignment horizontal="center" vertical="center"/>
    </xf>
    <xf numFmtId="0" fontId="73" fillId="26" borderId="311" xfId="0" applyFont="1" applyFill="1" applyBorder="1" applyAlignment="1">
      <alignment horizontal="center" vertical="center"/>
    </xf>
    <xf numFmtId="0" fontId="61" fillId="16" borderId="311" xfId="0" applyFont="1" applyFill="1" applyBorder="1" applyAlignment="1">
      <alignment horizontal="center" vertical="center"/>
    </xf>
    <xf numFmtId="0" fontId="63" fillId="26" borderId="311" xfId="0" applyFont="1" applyFill="1" applyBorder="1" applyAlignment="1">
      <alignment horizontal="center" vertical="center"/>
    </xf>
    <xf numFmtId="0" fontId="63" fillId="0" borderId="0" xfId="0" applyFont="1" applyFill="1" applyBorder="1" applyAlignment="1">
      <alignment horizontal="center" vertical="center"/>
    </xf>
    <xf numFmtId="168" fontId="30" fillId="83" borderId="25" xfId="1" applyNumberFormat="1" applyFont="1" applyFill="1" applyBorder="1" applyAlignment="1">
      <alignment horizontal="center" vertical="center"/>
    </xf>
    <xf numFmtId="168" fontId="30" fillId="84" borderId="25" xfId="1" applyNumberFormat="1" applyFont="1" applyFill="1" applyBorder="1" applyAlignment="1">
      <alignment horizontal="center" vertical="center"/>
    </xf>
    <xf numFmtId="168" fontId="63" fillId="16" borderId="25" xfId="1" applyNumberFormat="1" applyFont="1" applyFill="1" applyBorder="1" applyAlignment="1">
      <alignment horizontal="center" vertical="center"/>
    </xf>
    <xf numFmtId="168" fontId="63" fillId="14" borderId="25" xfId="1" applyNumberFormat="1" applyFont="1" applyFill="1" applyBorder="1" applyAlignment="1">
      <alignment horizontal="center" vertical="center"/>
    </xf>
    <xf numFmtId="168" fontId="63" fillId="26" borderId="25" xfId="1" applyNumberFormat="1" applyFont="1" applyFill="1" applyBorder="1" applyAlignment="1">
      <alignment horizontal="center" vertical="center"/>
    </xf>
    <xf numFmtId="0" fontId="63" fillId="0" borderId="45" xfId="0" applyFont="1" applyFill="1" applyBorder="1" applyAlignment="1">
      <alignment horizontal="center" vertical="center"/>
    </xf>
    <xf numFmtId="0" fontId="153" fillId="0" borderId="25" xfId="0" applyFont="1" applyBorder="1" applyAlignment="1">
      <alignment horizontal="center" vertical="center" wrapText="1"/>
    </xf>
    <xf numFmtId="168" fontId="153" fillId="16" borderId="25" xfId="1" applyNumberFormat="1" applyFont="1" applyFill="1" applyBorder="1" applyAlignment="1">
      <alignment horizontal="center" vertical="center" wrapText="1"/>
    </xf>
    <xf numFmtId="0" fontId="63" fillId="0" borderId="311" xfId="0" applyFont="1" applyBorder="1" applyAlignment="1">
      <alignment horizontal="center" vertical="center" wrapText="1"/>
    </xf>
    <xf numFmtId="0" fontId="63" fillId="0" borderId="0" xfId="0" applyFont="1" applyFill="1" applyAlignment="1">
      <alignment horizontal="center" vertical="center"/>
    </xf>
    <xf numFmtId="0" fontId="30" fillId="0" borderId="0" xfId="0" applyFont="1" applyFill="1" applyAlignment="1">
      <alignment horizontal="center" vertical="center"/>
    </xf>
    <xf numFmtId="9" fontId="61" fillId="16" borderId="25" xfId="2" applyFont="1" applyFill="1" applyBorder="1" applyAlignment="1">
      <alignment horizontal="center" vertical="center"/>
    </xf>
    <xf numFmtId="9" fontId="61" fillId="71" borderId="25" xfId="2" applyFont="1" applyFill="1" applyBorder="1" applyAlignment="1">
      <alignment horizontal="center" vertical="center"/>
    </xf>
    <xf numFmtId="168" fontId="73" fillId="71" borderId="25" xfId="1" applyNumberFormat="1" applyFont="1" applyFill="1" applyBorder="1" applyAlignment="1">
      <alignment horizontal="center" vertical="center"/>
    </xf>
    <xf numFmtId="168" fontId="63" fillId="71" borderId="25" xfId="1" applyNumberFormat="1" applyFont="1" applyFill="1" applyBorder="1" applyAlignment="1">
      <alignment horizontal="center" vertical="center"/>
    </xf>
    <xf numFmtId="0" fontId="11" fillId="0" borderId="0" xfId="0" applyFont="1" applyAlignment="1">
      <alignment vertical="center"/>
    </xf>
    <xf numFmtId="0" fontId="159" fillId="0" borderId="0" xfId="0" applyFont="1" applyFill="1" applyAlignment="1">
      <alignment vertical="center"/>
    </xf>
    <xf numFmtId="0" fontId="159" fillId="0" borderId="0" xfId="0" applyFont="1" applyFill="1" applyAlignment="1">
      <alignment horizontal="center" vertical="center"/>
    </xf>
    <xf numFmtId="168" fontId="26" fillId="115" borderId="52" xfId="1" applyNumberFormat="1" applyFont="1" applyFill="1" applyBorder="1" applyAlignment="1"/>
    <xf numFmtId="168" fontId="26" fillId="115" borderId="83" xfId="1" applyNumberFormat="1" applyFont="1" applyFill="1" applyBorder="1" applyAlignment="1"/>
    <xf numFmtId="168" fontId="26" fillId="78" borderId="52" xfId="1" applyNumberFormat="1" applyFont="1" applyFill="1" applyBorder="1" applyAlignment="1"/>
    <xf numFmtId="168" fontId="26" fillId="78" borderId="83" xfId="1" applyNumberFormat="1" applyFont="1" applyFill="1" applyBorder="1" applyAlignment="1"/>
    <xf numFmtId="0" fontId="244" fillId="0" borderId="0" xfId="0" applyFont="1" applyAlignment="1">
      <alignment vertical="top" wrapText="1"/>
    </xf>
    <xf numFmtId="0" fontId="244" fillId="0" borderId="0" xfId="0" applyFont="1" applyAlignment="1">
      <alignment horizontal="center" vertical="center" wrapText="1"/>
    </xf>
    <xf numFmtId="9" fontId="5" fillId="3" borderId="0" xfId="2" applyFont="1" applyFill="1" applyAlignment="1">
      <alignment horizontal="center"/>
    </xf>
    <xf numFmtId="0" fontId="244" fillId="0" borderId="0" xfId="0" applyFont="1" applyAlignment="1">
      <alignment horizontal="left"/>
    </xf>
    <xf numFmtId="165" fontId="5" fillId="3" borderId="70" xfId="3" applyFont="1" applyFill="1" applyBorder="1" applyAlignment="1">
      <alignment horizontal="left"/>
    </xf>
    <xf numFmtId="0" fontId="26" fillId="0" borderId="0" xfId="0" applyFont="1" applyAlignment="1">
      <alignment horizontal="right"/>
    </xf>
    <xf numFmtId="168" fontId="26" fillId="115" borderId="11" xfId="1" applyNumberFormat="1" applyFont="1" applyFill="1" applyBorder="1" applyAlignment="1"/>
    <xf numFmtId="3" fontId="61" fillId="0" borderId="268" xfId="0" applyNumberFormat="1" applyFont="1" applyBorder="1"/>
    <xf numFmtId="3" fontId="61" fillId="0" borderId="20" xfId="0" applyNumberFormat="1" applyFont="1" applyBorder="1"/>
    <xf numFmtId="9" fontId="234" fillId="26" borderId="37" xfId="2" applyFont="1" applyFill="1" applyBorder="1" applyAlignment="1">
      <alignment horizontal="center" vertical="center" wrapText="1"/>
    </xf>
    <xf numFmtId="168" fontId="132" fillId="0" borderId="35" xfId="1" applyNumberFormat="1" applyFont="1" applyFill="1" applyBorder="1" applyAlignment="1">
      <alignment horizontal="center" vertical="center"/>
    </xf>
    <xf numFmtId="168" fontId="132" fillId="0" borderId="30" xfId="1" applyNumberFormat="1" applyFont="1" applyFill="1" applyBorder="1" applyAlignment="1">
      <alignment horizontal="center" vertical="center"/>
    </xf>
    <xf numFmtId="167" fontId="132" fillId="0" borderId="40" xfId="2" applyNumberFormat="1" applyFont="1" applyFill="1" applyBorder="1" applyAlignment="1">
      <alignment horizontal="center" vertical="center"/>
    </xf>
    <xf numFmtId="167" fontId="132" fillId="0" borderId="9"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3" fontId="251" fillId="26" borderId="0" xfId="0" applyNumberFormat="1" applyFont="1" applyFill="1" applyBorder="1"/>
    <xf numFmtId="0" fontId="61" fillId="0" borderId="0" xfId="0" applyFont="1" applyFill="1" applyBorder="1" applyAlignment="1">
      <alignment horizontal="center" vertical="center" wrapText="1"/>
    </xf>
    <xf numFmtId="0" fontId="30" fillId="37" borderId="6" xfId="0" applyFont="1" applyFill="1" applyBorder="1" applyAlignment="1">
      <alignment horizontal="left" vertical="center"/>
    </xf>
    <xf numFmtId="168" fontId="7" fillId="71" borderId="25" xfId="1" applyNumberFormat="1" applyFont="1" applyFill="1" applyBorder="1" applyAlignment="1">
      <alignment horizontal="center" vertical="center" wrapText="1"/>
    </xf>
    <xf numFmtId="171" fontId="30" fillId="14" borderId="0" xfId="0" applyNumberFormat="1" applyFont="1" applyFill="1" applyBorder="1" applyAlignment="1">
      <alignment horizontal="center" vertical="center"/>
    </xf>
    <xf numFmtId="171" fontId="30" fillId="70" borderId="94" xfId="0" applyNumberFormat="1" applyFont="1" applyFill="1" applyBorder="1" applyAlignment="1">
      <alignment horizontal="center"/>
    </xf>
    <xf numFmtId="171" fontId="30" fillId="70" borderId="92" xfId="0" applyNumberFormat="1" applyFont="1" applyFill="1" applyBorder="1" applyAlignment="1">
      <alignment horizontal="center"/>
    </xf>
    <xf numFmtId="171" fontId="30" fillId="70" borderId="92" xfId="22" applyNumberFormat="1" applyFont="1" applyFill="1" applyBorder="1" applyAlignment="1">
      <alignment horizontal="center"/>
    </xf>
    <xf numFmtId="171" fontId="30" fillId="70" borderId="415" xfId="0" applyNumberFormat="1" applyFont="1" applyFill="1" applyBorder="1" applyAlignment="1">
      <alignment horizontal="center"/>
    </xf>
    <xf numFmtId="171" fontId="30" fillId="70" borderId="416" xfId="0" applyNumberFormat="1" applyFont="1" applyFill="1" applyBorder="1" applyAlignment="1">
      <alignment horizontal="center"/>
    </xf>
    <xf numFmtId="171" fontId="30" fillId="70" borderId="416" xfId="22" applyNumberFormat="1" applyFont="1" applyFill="1" applyBorder="1" applyAlignment="1">
      <alignment horizontal="center"/>
    </xf>
    <xf numFmtId="171" fontId="152" fillId="70" borderId="416" xfId="22" applyNumberFormat="1" applyFont="1" applyFill="1" applyBorder="1" applyAlignment="1">
      <alignment horizontal="center"/>
    </xf>
    <xf numFmtId="0" fontId="61" fillId="0" borderId="35" xfId="0" applyFont="1" applyBorder="1" applyAlignment="1">
      <alignment vertical="center"/>
    </xf>
    <xf numFmtId="0" fontId="61" fillId="0" borderId="0" xfId="0" applyFont="1" applyAlignment="1">
      <alignment horizontal="left" vertical="top"/>
    </xf>
    <xf numFmtId="0" fontId="60" fillId="16" borderId="0" xfId="0" applyFont="1" applyFill="1" applyAlignment="1">
      <alignment vertical="center"/>
    </xf>
    <xf numFmtId="171" fontId="24" fillId="16" borderId="0" xfId="0" applyNumberFormat="1" applyFont="1" applyFill="1" applyAlignment="1">
      <alignment horizontal="center" vertical="center"/>
    </xf>
    <xf numFmtId="171" fontId="64" fillId="16" borderId="0" xfId="0" applyNumberFormat="1" applyFont="1" applyFill="1" applyAlignment="1">
      <alignment horizontal="center" vertical="center"/>
    </xf>
    <xf numFmtId="0" fontId="61" fillId="0" borderId="37" xfId="0" applyFont="1" applyBorder="1" applyAlignment="1">
      <alignment horizontal="center" vertical="center" wrapText="1"/>
    </xf>
    <xf numFmtId="0" fontId="61" fillId="16" borderId="0" xfId="0" applyFont="1" applyFill="1" applyAlignment="1">
      <alignment vertical="center"/>
    </xf>
    <xf numFmtId="0" fontId="21" fillId="16" borderId="0" xfId="109" applyFill="1" applyBorder="1" applyAlignment="1" applyProtection="1">
      <alignment vertical="center"/>
    </xf>
    <xf numFmtId="0" fontId="173" fillId="16" borderId="0" xfId="0" applyFont="1" applyFill="1" applyAlignment="1">
      <alignment vertical="center"/>
    </xf>
    <xf numFmtId="171" fontId="174" fillId="16" borderId="0" xfId="0" applyNumberFormat="1" applyFont="1" applyFill="1" applyAlignment="1">
      <alignment horizontal="center" vertical="center"/>
    </xf>
    <xf numFmtId="0" fontId="61" fillId="0" borderId="0" xfId="0" applyFont="1" applyAlignment="1">
      <alignment horizontal="center" vertical="center" wrapText="1"/>
    </xf>
    <xf numFmtId="171" fontId="30" fillId="14" borderId="0" xfId="0" applyNumberFormat="1" applyFont="1" applyFill="1" applyAlignment="1">
      <alignment horizontal="center" vertical="center"/>
    </xf>
    <xf numFmtId="0" fontId="60" fillId="11" borderId="0" xfId="0" applyFont="1" applyFill="1"/>
    <xf numFmtId="171" fontId="6" fillId="16" borderId="0" xfId="0" applyNumberFormat="1" applyFont="1" applyFill="1" applyAlignment="1">
      <alignment horizontal="left" vertical="center"/>
    </xf>
    <xf numFmtId="171" fontId="7" fillId="16" borderId="0" xfId="0" applyNumberFormat="1" applyFont="1" applyFill="1" applyAlignment="1">
      <alignment horizontal="center" vertical="center"/>
    </xf>
    <xf numFmtId="171" fontId="6" fillId="16" borderId="0" xfId="0" applyNumberFormat="1" applyFont="1" applyFill="1" applyAlignment="1">
      <alignment horizontal="center" vertical="center"/>
    </xf>
    <xf numFmtId="171" fontId="30" fillId="16" borderId="0" xfId="0" applyNumberFormat="1" applyFont="1" applyFill="1" applyAlignment="1">
      <alignment horizontal="center"/>
    </xf>
    <xf numFmtId="0" fontId="0" fillId="16" borderId="0" xfId="0" applyFill="1" applyAlignment="1">
      <alignment vertical="center"/>
    </xf>
    <xf numFmtId="171" fontId="30" fillId="38" borderId="0" xfId="0" applyNumberFormat="1" applyFont="1" applyFill="1" applyAlignment="1">
      <alignment horizontal="center"/>
    </xf>
    <xf numFmtId="171" fontId="61" fillId="16" borderId="0" xfId="0" applyNumberFormat="1" applyFont="1" applyFill="1" applyAlignment="1">
      <alignment horizontal="center"/>
    </xf>
    <xf numFmtId="0" fontId="0" fillId="0" borderId="41" xfId="0" applyBorder="1" applyAlignment="1">
      <alignment vertical="center"/>
    </xf>
    <xf numFmtId="0" fontId="61" fillId="0" borderId="6" xfId="0" applyFont="1" applyBorder="1" applyAlignment="1">
      <alignment horizontal="center" vertical="center" wrapText="1"/>
    </xf>
    <xf numFmtId="171" fontId="30" fillId="0" borderId="263" xfId="0" applyNumberFormat="1" applyFont="1" applyBorder="1" applyAlignment="1">
      <alignment horizontal="center" vertical="center"/>
    </xf>
    <xf numFmtId="2" fontId="97" fillId="0" borderId="51" xfId="0" applyNumberFormat="1" applyFont="1" applyBorder="1" applyAlignment="1">
      <alignment horizontal="center" vertical="center"/>
    </xf>
    <xf numFmtId="2" fontId="178" fillId="0" borderId="51" xfId="0" applyNumberFormat="1" applyFont="1" applyBorder="1" applyAlignment="1">
      <alignment horizontal="center" vertical="center"/>
    </xf>
    <xf numFmtId="2" fontId="61" fillId="0" borderId="313" xfId="0" applyNumberFormat="1" applyFont="1" applyBorder="1" applyAlignment="1">
      <alignment horizontal="center" vertical="center"/>
    </xf>
    <xf numFmtId="2" fontId="160" fillId="0" borderId="55" xfId="0" applyNumberFormat="1" applyFont="1" applyBorder="1" applyAlignment="1">
      <alignment horizontal="center" vertical="center"/>
    </xf>
    <xf numFmtId="2" fontId="96" fillId="0" borderId="362" xfId="0" applyNumberFormat="1" applyFont="1" applyBorder="1" applyAlignment="1">
      <alignment horizontal="center" vertical="center"/>
    </xf>
    <xf numFmtId="171" fontId="11" fillId="0" borderId="263" xfId="0" applyNumberFormat="1" applyFont="1" applyBorder="1" applyAlignment="1">
      <alignment horizontal="center" vertical="center" wrapText="1"/>
    </xf>
    <xf numFmtId="9" fontId="19" fillId="27" borderId="44" xfId="2" applyFont="1" applyFill="1" applyBorder="1" applyAlignment="1">
      <alignment horizontal="center" vertical="center"/>
    </xf>
    <xf numFmtId="2" fontId="178" fillId="0" borderId="45" xfId="0" applyNumberFormat="1" applyFont="1" applyBorder="1" applyAlignment="1">
      <alignment horizontal="center" vertical="center"/>
    </xf>
    <xf numFmtId="2" fontId="97" fillId="0" borderId="318" xfId="0" applyNumberFormat="1" applyFont="1" applyBorder="1" applyAlignment="1">
      <alignment horizontal="center" vertical="center"/>
    </xf>
    <xf numFmtId="2" fontId="97" fillId="0" borderId="48" xfId="0" applyNumberFormat="1" applyFont="1" applyBorder="1" applyAlignment="1">
      <alignment horizontal="center" vertical="center"/>
    </xf>
    <xf numFmtId="171" fontId="30" fillId="16" borderId="0" xfId="0" applyNumberFormat="1" applyFont="1" applyFill="1" applyAlignment="1">
      <alignment horizontal="center" vertical="center" wrapText="1"/>
    </xf>
    <xf numFmtId="0" fontId="55" fillId="9" borderId="0" xfId="0" applyFont="1" applyFill="1" applyAlignment="1">
      <alignment horizontal="center" vertical="center"/>
    </xf>
    <xf numFmtId="0" fontId="55" fillId="9" borderId="0" xfId="0" applyFont="1" applyFill="1" applyAlignment="1">
      <alignment horizontal="center"/>
    </xf>
    <xf numFmtId="0" fontId="0" fillId="31" borderId="0" xfId="0" applyFill="1" applyAlignment="1">
      <alignment horizontal="center" vertical="center"/>
    </xf>
    <xf numFmtId="171" fontId="29" fillId="0" borderId="0" xfId="0" applyNumberFormat="1" applyFont="1" applyAlignment="1">
      <alignment horizontal="center"/>
    </xf>
    <xf numFmtId="171" fontId="24" fillId="16" borderId="0" xfId="0" applyNumberFormat="1" applyFont="1" applyFill="1" applyAlignment="1">
      <alignment horizontal="center" vertical="center" wrapText="1"/>
    </xf>
    <xf numFmtId="171" fontId="108" fillId="13" borderId="0" xfId="0" applyNumberFormat="1" applyFont="1" applyFill="1" applyAlignment="1">
      <alignment horizontal="center" vertical="center" wrapText="1"/>
    </xf>
    <xf numFmtId="0" fontId="21" fillId="0" borderId="0" xfId="109" applyAlignment="1" applyProtection="1"/>
    <xf numFmtId="166" fontId="30" fillId="16" borderId="0" xfId="110" applyFont="1" applyFill="1" applyBorder="1" applyAlignment="1">
      <alignment horizontal="center" vertical="center"/>
    </xf>
    <xf numFmtId="171" fontId="30" fillId="10" borderId="0" xfId="0" applyNumberFormat="1" applyFont="1" applyFill="1" applyAlignment="1">
      <alignment horizontal="center" vertical="center"/>
    </xf>
    <xf numFmtId="171" fontId="163" fillId="16" borderId="0" xfId="0" applyNumberFormat="1" applyFont="1" applyFill="1" applyAlignment="1">
      <alignment horizontal="center"/>
    </xf>
    <xf numFmtId="171" fontId="30" fillId="16" borderId="0" xfId="22" applyNumberFormat="1" applyFont="1" applyFill="1" applyAlignment="1">
      <alignment horizontal="center"/>
    </xf>
    <xf numFmtId="171" fontId="58" fillId="16" borderId="0" xfId="0" applyNumberFormat="1" applyFont="1" applyFill="1" applyAlignment="1">
      <alignment horizontal="center" vertical="top"/>
    </xf>
    <xf numFmtId="171" fontId="164" fillId="16" borderId="0" xfId="22" applyNumberFormat="1" applyFont="1" applyFill="1" applyAlignment="1">
      <alignment horizontal="center"/>
    </xf>
    <xf numFmtId="171" fontId="30" fillId="29" borderId="0" xfId="0" applyNumberFormat="1" applyFont="1" applyFill="1" applyAlignment="1">
      <alignment horizontal="center"/>
    </xf>
    <xf numFmtId="171" fontId="63" fillId="16" borderId="0" xfId="22" applyNumberFormat="1" applyFont="1" applyFill="1" applyAlignment="1">
      <alignment horizontal="center"/>
    </xf>
    <xf numFmtId="1" fontId="58" fillId="98" borderId="35" xfId="0" applyNumberFormat="1" applyFont="1" applyFill="1" applyBorder="1"/>
    <xf numFmtId="1" fontId="58" fillId="98" borderId="29" xfId="0" applyNumberFormat="1" applyFont="1" applyFill="1" applyBorder="1"/>
    <xf numFmtId="1" fontId="58" fillId="98" borderId="30" xfId="0" applyNumberFormat="1" applyFont="1" applyFill="1" applyBorder="1"/>
    <xf numFmtId="171" fontId="58" fillId="0" borderId="37" xfId="0" applyNumberFormat="1" applyFont="1" applyBorder="1" applyAlignment="1">
      <alignment horizontal="center"/>
    </xf>
    <xf numFmtId="171" fontId="58" fillId="0" borderId="0" xfId="0" applyNumberFormat="1" applyFont="1" applyAlignment="1">
      <alignment horizontal="center"/>
    </xf>
    <xf numFmtId="171" fontId="58" fillId="0" borderId="7" xfId="0" applyNumberFormat="1" applyFont="1" applyBorder="1" applyAlignment="1">
      <alignment horizontal="center"/>
    </xf>
    <xf numFmtId="171" fontId="165" fillId="98" borderId="0" xfId="0" applyNumberFormat="1" applyFont="1" applyFill="1" applyAlignment="1">
      <alignment horizontal="center"/>
    </xf>
    <xf numFmtId="1" fontId="166" fillId="88" borderId="35" xfId="0" applyNumberFormat="1" applyFont="1" applyFill="1" applyBorder="1"/>
    <xf numFmtId="1" fontId="166" fillId="88" borderId="29" xfId="0" applyNumberFormat="1" applyFont="1" applyFill="1" applyBorder="1"/>
    <xf numFmtId="171" fontId="59" fillId="22" borderId="0" xfId="0" applyNumberFormat="1" applyFont="1" applyFill="1" applyAlignment="1">
      <alignment horizontal="center"/>
    </xf>
    <xf numFmtId="1" fontId="59" fillId="22" borderId="35" xfId="0" applyNumberFormat="1" applyFont="1" applyFill="1" applyBorder="1"/>
    <xf numFmtId="1" fontId="59" fillId="22" borderId="29" xfId="0" applyNumberFormat="1" applyFont="1" applyFill="1" applyBorder="1"/>
    <xf numFmtId="1" fontId="59" fillId="22" borderId="30" xfId="0" applyNumberFormat="1" applyFont="1" applyFill="1" applyBorder="1"/>
    <xf numFmtId="171" fontId="59" fillId="4" borderId="0" xfId="0" applyNumberFormat="1" applyFont="1" applyFill="1" applyAlignment="1">
      <alignment horizontal="center"/>
    </xf>
    <xf numFmtId="171" fontId="168" fillId="4" borderId="0" xfId="0" applyNumberFormat="1" applyFont="1" applyFill="1" applyAlignment="1">
      <alignment horizontal="center"/>
    </xf>
    <xf numFmtId="1" fontId="161" fillId="15" borderId="35" xfId="0" applyNumberFormat="1" applyFont="1" applyFill="1" applyBorder="1"/>
    <xf numFmtId="1" fontId="161" fillId="15" borderId="29" xfId="0" applyNumberFormat="1" applyFont="1" applyFill="1" applyBorder="1"/>
    <xf numFmtId="1" fontId="161" fillId="15" borderId="30" xfId="0" applyNumberFormat="1" applyFont="1" applyFill="1" applyBorder="1"/>
    <xf numFmtId="171" fontId="62" fillId="0" borderId="37" xfId="0" applyNumberFormat="1" applyFont="1" applyBorder="1" applyAlignment="1">
      <alignment horizontal="center"/>
    </xf>
    <xf numFmtId="171" fontId="62" fillId="0" borderId="0" xfId="0" applyNumberFormat="1" applyFont="1" applyAlignment="1">
      <alignment horizontal="center"/>
    </xf>
    <xf numFmtId="171" fontId="62" fillId="0" borderId="7" xfId="0" applyNumberFormat="1" applyFont="1" applyBorder="1" applyAlignment="1">
      <alignment horizontal="center"/>
    </xf>
    <xf numFmtId="171" fontId="63" fillId="15" borderId="0" xfId="0" applyNumberFormat="1" applyFont="1" applyFill="1" applyAlignment="1">
      <alignment horizontal="center"/>
    </xf>
    <xf numFmtId="171" fontId="161" fillId="15" borderId="0" xfId="0" applyNumberFormat="1" applyFont="1" applyFill="1" applyAlignment="1">
      <alignment horizontal="center"/>
    </xf>
    <xf numFmtId="171" fontId="30" fillId="4" borderId="0" xfId="0" applyNumberFormat="1" applyFont="1" applyFill="1" applyAlignment="1">
      <alignment horizontal="center"/>
    </xf>
    <xf numFmtId="171" fontId="97" fillId="4" borderId="0" xfId="0" applyNumberFormat="1" applyFont="1" applyFill="1" applyAlignment="1">
      <alignment horizontal="center"/>
    </xf>
    <xf numFmtId="0" fontId="30" fillId="15" borderId="29" xfId="0" applyFont="1" applyFill="1" applyBorder="1" applyAlignment="1">
      <alignment horizontal="center"/>
    </xf>
    <xf numFmtId="171" fontId="30" fillId="0" borderId="37" xfId="0" applyNumberFormat="1" applyFont="1" applyBorder="1" applyAlignment="1">
      <alignment horizontal="center"/>
    </xf>
    <xf numFmtId="171" fontId="30" fillId="0" borderId="0" xfId="0" applyNumberFormat="1" applyFont="1" applyAlignment="1">
      <alignment horizontal="center"/>
    </xf>
    <xf numFmtId="171" fontId="30" fillId="0" borderId="7" xfId="0" applyNumberFormat="1" applyFont="1" applyBorder="1" applyAlignment="1">
      <alignment horizontal="center"/>
    </xf>
    <xf numFmtId="171" fontId="30" fillId="15" borderId="0" xfId="0" applyNumberFormat="1" applyFont="1" applyFill="1" applyAlignment="1">
      <alignment horizontal="center"/>
    </xf>
    <xf numFmtId="171" fontId="97" fillId="15" borderId="0" xfId="0" applyNumberFormat="1" applyFont="1" applyFill="1" applyAlignment="1">
      <alignment horizontal="center"/>
    </xf>
    <xf numFmtId="0" fontId="30" fillId="4" borderId="29" xfId="0" applyFont="1" applyFill="1" applyBorder="1" applyAlignment="1">
      <alignment horizontal="center"/>
    </xf>
    <xf numFmtId="171" fontId="30" fillId="14" borderId="37" xfId="0" applyNumberFormat="1" applyFont="1" applyFill="1" applyBorder="1" applyAlignment="1">
      <alignment horizontal="center" vertical="center"/>
    </xf>
    <xf numFmtId="0" fontId="30" fillId="82" borderId="52" xfId="0" applyFont="1" applyFill="1" applyBorder="1" applyAlignment="1">
      <alignment horizontal="center" vertical="center"/>
    </xf>
    <xf numFmtId="43" fontId="30" fillId="14" borderId="49" xfId="105" applyFont="1" applyFill="1" applyBorder="1" applyAlignment="1">
      <alignment horizontal="center" vertical="center"/>
    </xf>
    <xf numFmtId="43" fontId="30" fillId="14" borderId="50" xfId="105" applyFont="1" applyFill="1" applyBorder="1" applyAlignment="1">
      <alignment horizontal="center" vertical="center"/>
    </xf>
    <xf numFmtId="43" fontId="152" fillId="14" borderId="50" xfId="105" applyFont="1" applyFill="1" applyBorder="1" applyAlignment="1">
      <alignment horizontal="center" vertical="center"/>
    </xf>
    <xf numFmtId="43" fontId="63" fillId="14" borderId="50" xfId="105" applyFont="1" applyFill="1" applyBorder="1" applyAlignment="1">
      <alignment horizontal="center" vertical="center"/>
    </xf>
    <xf numFmtId="43" fontId="63" fillId="14" borderId="51" xfId="105" applyFont="1" applyFill="1" applyBorder="1" applyAlignment="1">
      <alignment horizontal="center" vertical="center"/>
    </xf>
    <xf numFmtId="43" fontId="61" fillId="14" borderId="268" xfId="105" applyFont="1" applyFill="1" applyBorder="1" applyAlignment="1">
      <alignment horizontal="center"/>
    </xf>
    <xf numFmtId="43" fontId="61" fillId="14" borderId="20" xfId="105" applyFont="1" applyFill="1" applyBorder="1" applyAlignment="1">
      <alignment horizontal="center"/>
    </xf>
    <xf numFmtId="43" fontId="61" fillId="14" borderId="55" xfId="105" applyFont="1" applyFill="1" applyBorder="1" applyAlignment="1">
      <alignment horizontal="center"/>
    </xf>
    <xf numFmtId="43" fontId="61" fillId="14" borderId="44" xfId="105" applyFont="1" applyFill="1" applyBorder="1" applyAlignment="1">
      <alignment horizontal="center"/>
    </xf>
    <xf numFmtId="43" fontId="61" fillId="14" borderId="13" xfId="105" applyFont="1" applyFill="1" applyBorder="1" applyAlignment="1">
      <alignment horizontal="center"/>
    </xf>
    <xf numFmtId="43" fontId="61" fillId="14" borderId="45" xfId="105" applyFont="1" applyFill="1" applyBorder="1" applyAlignment="1">
      <alignment horizontal="center"/>
    </xf>
    <xf numFmtId="43" fontId="61" fillId="14" borderId="46" xfId="105" applyFont="1" applyFill="1" applyBorder="1" applyAlignment="1">
      <alignment horizontal="center"/>
    </xf>
    <xf numFmtId="43" fontId="61" fillId="14" borderId="47" xfId="105" applyFont="1" applyFill="1" applyBorder="1" applyAlignment="1">
      <alignment horizontal="center"/>
    </xf>
    <xf numFmtId="43" fontId="61" fillId="14" borderId="48" xfId="105" applyFont="1" applyFill="1" applyBorder="1" applyAlignment="1">
      <alignment horizontal="center"/>
    </xf>
    <xf numFmtId="9" fontId="159" fillId="16" borderId="83" xfId="2" applyFont="1" applyFill="1" applyBorder="1" applyAlignment="1">
      <alignment horizontal="center" vertical="center"/>
    </xf>
    <xf numFmtId="171" fontId="30" fillId="0" borderId="0" xfId="0" applyNumberFormat="1" applyFont="1" applyAlignment="1">
      <alignment horizontal="center" vertical="center"/>
    </xf>
    <xf numFmtId="171" fontId="30" fillId="38" borderId="66" xfId="0" applyNumberFormat="1" applyFont="1" applyFill="1" applyBorder="1" applyAlignment="1">
      <alignment horizontal="center"/>
    </xf>
    <xf numFmtId="171" fontId="30" fillId="38" borderId="34" xfId="0" applyNumberFormat="1" applyFont="1" applyFill="1" applyBorder="1" applyAlignment="1">
      <alignment horizontal="center"/>
    </xf>
    <xf numFmtId="171" fontId="30" fillId="38" borderId="67" xfId="0" applyNumberFormat="1" applyFont="1" applyFill="1" applyBorder="1" applyAlignment="1">
      <alignment horizontal="center"/>
    </xf>
    <xf numFmtId="171" fontId="30" fillId="38" borderId="7" xfId="0" applyNumberFormat="1" applyFont="1" applyFill="1" applyBorder="1" applyAlignment="1">
      <alignment horizontal="center"/>
    </xf>
    <xf numFmtId="0" fontId="30" fillId="81" borderId="52" xfId="0" applyFont="1" applyFill="1" applyBorder="1" applyAlignment="1">
      <alignment horizontal="center" vertical="center"/>
    </xf>
    <xf numFmtId="43" fontId="30" fillId="70" borderId="96" xfId="105" applyFont="1" applyFill="1" applyBorder="1" applyAlignment="1">
      <alignment horizontal="center" vertical="center"/>
    </xf>
    <xf numFmtId="43" fontId="30" fillId="70" borderId="97" xfId="105" applyFont="1" applyFill="1" applyBorder="1" applyAlignment="1">
      <alignment horizontal="center" vertical="center"/>
    </xf>
    <xf numFmtId="43" fontId="152" fillId="70" borderId="97" xfId="105" applyFont="1" applyFill="1" applyBorder="1" applyAlignment="1">
      <alignment horizontal="center" vertical="center"/>
    </xf>
    <xf numFmtId="43" fontId="30" fillId="70" borderId="98" xfId="105" applyFont="1" applyFill="1" applyBorder="1" applyAlignment="1">
      <alignment horizontal="center" vertical="center"/>
    </xf>
    <xf numFmtId="43" fontId="30" fillId="70" borderId="94" xfId="105" applyFont="1" applyFill="1" applyBorder="1" applyAlignment="1">
      <alignment horizontal="center"/>
    </xf>
    <xf numFmtId="43" fontId="30" fillId="70" borderId="92" xfId="105" applyFont="1" applyFill="1" applyBorder="1" applyAlignment="1">
      <alignment horizontal="center"/>
    </xf>
    <xf numFmtId="43" fontId="30" fillId="70" borderId="95" xfId="105" applyFont="1" applyFill="1" applyBorder="1" applyAlignment="1">
      <alignment horizontal="center"/>
    </xf>
    <xf numFmtId="43" fontId="30" fillId="70" borderId="84" xfId="105" applyFont="1" applyFill="1" applyBorder="1" applyAlignment="1">
      <alignment horizontal="center"/>
    </xf>
    <xf numFmtId="43" fontId="30" fillId="70" borderId="73" xfId="105" applyFont="1" applyFill="1" applyBorder="1" applyAlignment="1">
      <alignment horizontal="center"/>
    </xf>
    <xf numFmtId="43" fontId="30" fillId="70" borderId="88" xfId="105" applyFont="1" applyFill="1" applyBorder="1" applyAlignment="1">
      <alignment horizontal="center"/>
    </xf>
    <xf numFmtId="43" fontId="30" fillId="70" borderId="417" xfId="105" applyFont="1" applyFill="1" applyBorder="1" applyAlignment="1">
      <alignment horizontal="center"/>
    </xf>
    <xf numFmtId="43" fontId="30" fillId="70" borderId="85" xfId="105" applyFont="1" applyFill="1" applyBorder="1" applyAlignment="1">
      <alignment horizontal="center"/>
    </xf>
    <xf numFmtId="43" fontId="30" fillId="70" borderId="86" xfId="105" applyFont="1" applyFill="1" applyBorder="1" applyAlignment="1">
      <alignment horizontal="center"/>
    </xf>
    <xf numFmtId="43" fontId="30" fillId="70" borderId="259" xfId="105" applyFont="1" applyFill="1" applyBorder="1" applyAlignment="1">
      <alignment horizontal="center"/>
    </xf>
    <xf numFmtId="43" fontId="30" fillId="70" borderId="418" xfId="105" applyFont="1" applyFill="1" applyBorder="1" applyAlignment="1">
      <alignment horizontal="center"/>
    </xf>
    <xf numFmtId="171" fontId="30" fillId="3" borderId="17" xfId="0" applyNumberFormat="1" applyFont="1" applyFill="1" applyBorder="1" applyAlignment="1">
      <alignment horizontal="center" vertical="center"/>
    </xf>
    <xf numFmtId="171" fontId="30" fillId="0" borderId="263" xfId="0" applyNumberFormat="1" applyFont="1" applyBorder="1" applyAlignment="1">
      <alignment horizontal="center" vertical="center" wrapText="1"/>
    </xf>
    <xf numFmtId="43" fontId="30" fillId="70" borderId="49" xfId="105" applyFont="1" applyFill="1" applyBorder="1" applyAlignment="1">
      <alignment horizontal="center" vertical="center"/>
    </xf>
    <xf numFmtId="43" fontId="30" fillId="70" borderId="50" xfId="105" applyFont="1" applyFill="1" applyBorder="1" applyAlignment="1">
      <alignment horizontal="center" vertical="center"/>
    </xf>
    <xf numFmtId="43" fontId="30" fillId="70" borderId="51" xfId="105" applyFont="1" applyFill="1" applyBorder="1" applyAlignment="1">
      <alignment horizontal="center" vertical="center"/>
    </xf>
    <xf numFmtId="0" fontId="61" fillId="130" borderId="35" xfId="0" applyFont="1" applyFill="1" applyBorder="1" applyAlignment="1">
      <alignment horizontal="center" vertical="center"/>
    </xf>
    <xf numFmtId="0" fontId="61" fillId="130" borderId="29" xfId="0" applyFont="1" applyFill="1" applyBorder="1" applyAlignment="1">
      <alignment horizontal="center" vertical="center"/>
    </xf>
    <xf numFmtId="0" fontId="61" fillId="130" borderId="37" xfId="0" applyFont="1" applyFill="1" applyBorder="1" applyAlignment="1">
      <alignment horizontal="center" vertical="center"/>
    </xf>
    <xf numFmtId="0" fontId="61" fillId="130" borderId="0" xfId="0" applyFont="1" applyFill="1" applyBorder="1" applyAlignment="1">
      <alignment horizontal="center" vertical="center"/>
    </xf>
    <xf numFmtId="3" fontId="61" fillId="38" borderId="0" xfId="0" applyNumberFormat="1" applyFont="1" applyFill="1" applyBorder="1"/>
    <xf numFmtId="3" fontId="61" fillId="38" borderId="11" xfId="0" applyNumberFormat="1" applyFont="1" applyFill="1" applyBorder="1"/>
    <xf numFmtId="0" fontId="61" fillId="4" borderId="72" xfId="0" applyFont="1" applyFill="1" applyBorder="1" applyAlignment="1">
      <alignment vertical="center"/>
    </xf>
    <xf numFmtId="0" fontId="61" fillId="0" borderId="72" xfId="0" applyFont="1" applyFill="1" applyBorder="1" applyAlignment="1">
      <alignment horizontal="center" vertical="center"/>
    </xf>
    <xf numFmtId="0" fontId="61" fillId="4" borderId="72" xfId="0" applyFont="1" applyFill="1" applyBorder="1"/>
    <xf numFmtId="0" fontId="61" fillId="4" borderId="358" xfId="0" applyFont="1" applyFill="1" applyBorder="1"/>
    <xf numFmtId="0" fontId="61" fillId="130" borderId="30" xfId="0" applyFont="1" applyFill="1" applyBorder="1" applyAlignment="1">
      <alignment horizontal="center" vertical="center"/>
    </xf>
    <xf numFmtId="0" fontId="61" fillId="130" borderId="7" xfId="0" applyFont="1" applyFill="1" applyBorder="1" applyAlignment="1">
      <alignment horizontal="center" vertical="center"/>
    </xf>
    <xf numFmtId="3" fontId="61" fillId="38" borderId="37" xfId="0" applyNumberFormat="1" applyFont="1" applyFill="1" applyBorder="1"/>
    <xf numFmtId="3" fontId="61" fillId="38" borderId="7" xfId="0" applyNumberFormat="1" applyFont="1" applyFill="1" applyBorder="1"/>
    <xf numFmtId="3" fontId="61" fillId="38" borderId="52" xfId="0" applyNumberFormat="1" applyFont="1" applyFill="1" applyBorder="1"/>
    <xf numFmtId="3" fontId="61" fillId="38" borderId="83" xfId="0" applyNumberFormat="1" applyFont="1" applyFill="1" applyBorder="1"/>
    <xf numFmtId="3" fontId="61" fillId="0" borderId="262" xfId="0" applyNumberFormat="1" applyFont="1" applyBorder="1"/>
    <xf numFmtId="3" fontId="61" fillId="0" borderId="38" xfId="0" applyNumberFormat="1" applyFont="1" applyBorder="1"/>
    <xf numFmtId="168" fontId="61" fillId="117" borderId="13" xfId="1" applyNumberFormat="1" applyFont="1" applyFill="1" applyBorder="1"/>
    <xf numFmtId="168" fontId="61" fillId="117" borderId="44" xfId="1" applyNumberFormat="1" applyFont="1" applyFill="1" applyBorder="1"/>
    <xf numFmtId="168" fontId="61" fillId="117" borderId="45" xfId="1" applyNumberFormat="1" applyFont="1" applyFill="1" applyBorder="1"/>
    <xf numFmtId="17" fontId="61" fillId="130" borderId="52" xfId="0" applyNumberFormat="1" applyFont="1" applyFill="1" applyBorder="1" applyAlignment="1">
      <alignment horizontal="center" vertical="center"/>
    </xf>
    <xf numFmtId="17" fontId="61" fillId="130" borderId="5" xfId="0" applyNumberFormat="1" applyFont="1" applyFill="1" applyBorder="1" applyAlignment="1">
      <alignment horizontal="center" vertical="center"/>
    </xf>
    <xf numFmtId="9" fontId="61" fillId="26" borderId="52" xfId="2" applyNumberFormat="1" applyFont="1" applyFill="1" applyBorder="1"/>
    <xf numFmtId="9" fontId="61" fillId="26" borderId="11" xfId="2" applyNumberFormat="1" applyFont="1" applyFill="1" applyBorder="1"/>
    <xf numFmtId="9" fontId="61" fillId="26" borderId="83" xfId="2" applyNumberFormat="1" applyFont="1" applyFill="1" applyBorder="1"/>
    <xf numFmtId="183" fontId="251" fillId="119" borderId="41" xfId="0" applyNumberFormat="1" applyFont="1" applyFill="1" applyBorder="1" applyAlignment="1">
      <alignment horizontal="center" vertical="center" wrapText="1"/>
    </xf>
    <xf numFmtId="3" fontId="61" fillId="14" borderId="37" xfId="0" applyNumberFormat="1" applyFont="1" applyFill="1" applyBorder="1"/>
    <xf numFmtId="3" fontId="61" fillId="14" borderId="7" xfId="0" applyNumberFormat="1" applyFont="1" applyFill="1" applyBorder="1"/>
    <xf numFmtId="166" fontId="262" fillId="0" borderId="6" xfId="1" applyFont="1" applyFill="1" applyBorder="1" applyAlignment="1">
      <alignment horizontal="center" vertical="center"/>
    </xf>
    <xf numFmtId="0" fontId="26" fillId="0" borderId="0" xfId="0" applyFont="1" applyAlignment="1">
      <alignment horizontal="center"/>
    </xf>
    <xf numFmtId="0" fontId="17" fillId="0" borderId="29" xfId="0" applyFont="1" applyBorder="1" applyAlignment="1">
      <alignment horizontal="center" vertical="center" wrapText="1"/>
    </xf>
    <xf numFmtId="166" fontId="132" fillId="0" borderId="0" xfId="1" applyFont="1" applyFill="1"/>
    <xf numFmtId="0" fontId="12" fillId="0" borderId="0" xfId="0" applyFont="1" applyAlignment="1">
      <alignment horizontal="center" vertical="center" wrapText="1"/>
    </xf>
    <xf numFmtId="0" fontId="20" fillId="0" borderId="29" xfId="0" applyFont="1" applyBorder="1" applyAlignment="1">
      <alignment horizontal="center" vertical="center" wrapText="1"/>
    </xf>
    <xf numFmtId="0" fontId="17" fillId="0" borderId="41" xfId="0" applyFont="1" applyBorder="1" applyAlignment="1">
      <alignment horizontal="center" vertical="center" wrapText="1"/>
    </xf>
    <xf numFmtId="0" fontId="28" fillId="73" borderId="41" xfId="0" applyFont="1" applyFill="1" applyBorder="1" applyAlignment="1">
      <alignment horizontal="center" vertical="center" wrapText="1"/>
    </xf>
    <xf numFmtId="0" fontId="28" fillId="73" borderId="5" xfId="0" applyFont="1" applyFill="1" applyBorder="1" applyAlignment="1">
      <alignment horizontal="center" vertical="center" wrapText="1"/>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28" fillId="27" borderId="41" xfId="0" applyNumberFormat="1" applyFont="1" applyFill="1" applyBorder="1" applyAlignment="1">
      <alignment vertical="center" wrapText="1"/>
    </xf>
    <xf numFmtId="0" fontId="10" fillId="0" borderId="6" xfId="0" applyFont="1" applyBorder="1" applyAlignment="1">
      <alignment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8" xfId="1" applyNumberFormat="1" applyFont="1" applyFill="1" applyBorder="1" applyAlignment="1">
      <alignment vertical="center" wrapText="1"/>
    </xf>
    <xf numFmtId="168" fontId="10" fillId="27" borderId="33" xfId="1" applyNumberFormat="1" applyFont="1" applyFill="1" applyBorder="1" applyAlignment="1">
      <alignment vertical="center" wrapText="1"/>
    </xf>
    <xf numFmtId="168" fontId="28" fillId="27" borderId="8" xfId="0"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41"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28" fillId="71" borderId="41" xfId="0" applyNumberFormat="1" applyFont="1" applyFill="1" applyBorder="1" applyAlignment="1">
      <alignment vertical="center" wrapText="1"/>
    </xf>
    <xf numFmtId="9" fontId="10" fillId="0" borderId="41" xfId="2" applyFont="1" applyBorder="1" applyAlignment="1">
      <alignment vertical="center" wrapText="1"/>
    </xf>
    <xf numFmtId="0" fontId="12" fillId="71" borderId="37" xfId="0" applyFont="1" applyFill="1" applyBorder="1" applyAlignment="1">
      <alignment horizontal="center" vertical="center" wrapText="1"/>
    </xf>
    <xf numFmtId="0" fontId="10" fillId="71" borderId="0" xfId="0" applyFont="1" applyFill="1" applyAlignment="1">
      <alignment vertical="center" wrapText="1"/>
    </xf>
    <xf numFmtId="0" fontId="12" fillId="71" borderId="0" xfId="0" applyFont="1" applyFill="1" applyAlignment="1">
      <alignment horizontal="center" vertical="center" wrapText="1"/>
    </xf>
    <xf numFmtId="168" fontId="10" fillId="71" borderId="6" xfId="1" applyNumberFormat="1" applyFont="1" applyFill="1" applyBorder="1" applyAlignment="1">
      <alignment vertical="center" wrapText="1"/>
    </xf>
    <xf numFmtId="168" fontId="10" fillId="71" borderId="0" xfId="1" applyNumberFormat="1" applyFont="1" applyFill="1" applyBorder="1" applyAlignment="1">
      <alignment vertical="center" wrapText="1"/>
    </xf>
    <xf numFmtId="168" fontId="28" fillId="71" borderId="6" xfId="0" applyNumberFormat="1" applyFont="1" applyFill="1" applyBorder="1" applyAlignment="1">
      <alignment vertical="center" wrapText="1"/>
    </xf>
    <xf numFmtId="9" fontId="10" fillId="0" borderId="6" xfId="2" applyFont="1" applyBorder="1" applyAlignment="1">
      <alignment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41"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28" fillId="70" borderId="41" xfId="0" applyNumberFormat="1" applyFont="1" applyFill="1" applyBorder="1" applyAlignment="1">
      <alignment vertical="center" wrapText="1"/>
    </xf>
    <xf numFmtId="9" fontId="10" fillId="0" borderId="30" xfId="2" applyFont="1" applyBorder="1" applyAlignment="1">
      <alignment vertical="center" wrapText="1"/>
    </xf>
    <xf numFmtId="168" fontId="10" fillId="0" borderId="0" xfId="0" applyNumberFormat="1" applyFont="1"/>
    <xf numFmtId="0" fontId="12" fillId="70" borderId="37" xfId="0" applyFont="1" applyFill="1" applyBorder="1" applyAlignment="1">
      <alignment horizontal="center"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70" xfId="1" applyNumberFormat="1" applyFont="1" applyFill="1" applyBorder="1" applyAlignment="1">
      <alignment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9" fontId="10" fillId="0" borderId="362" xfId="2" applyFont="1" applyBorder="1" applyAlignment="1">
      <alignment vertical="center" wrapText="1"/>
    </xf>
    <xf numFmtId="0" fontId="10" fillId="70" borderId="0" xfId="0" applyFont="1" applyFill="1" applyAlignment="1">
      <alignment vertical="center" wrapText="1"/>
    </xf>
    <xf numFmtId="0" fontId="12" fillId="70" borderId="0" xfId="0" applyFont="1" applyFill="1" applyAlignment="1">
      <alignment horizontal="center" vertical="center" wrapText="1"/>
    </xf>
    <xf numFmtId="168" fontId="10" fillId="70" borderId="6" xfId="1" applyNumberFormat="1" applyFont="1" applyFill="1" applyBorder="1" applyAlignment="1">
      <alignment vertical="center" wrapText="1"/>
    </xf>
    <xf numFmtId="168" fontId="10" fillId="70" borderId="0" xfId="1" applyNumberFormat="1" applyFont="1" applyFill="1" applyBorder="1" applyAlignment="1">
      <alignment vertical="center" wrapText="1"/>
    </xf>
    <xf numFmtId="168" fontId="28" fillId="70" borderId="6" xfId="0" applyNumberFormat="1" applyFont="1" applyFill="1" applyBorder="1" applyAlignment="1">
      <alignment vertical="center" wrapText="1"/>
    </xf>
    <xf numFmtId="9" fontId="10" fillId="0" borderId="7" xfId="2" applyFont="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168" fontId="28" fillId="28" borderId="70" xfId="0" applyNumberFormat="1" applyFont="1" applyFill="1" applyBorder="1" applyAlignment="1">
      <alignment vertical="center" wrapText="1"/>
    </xf>
    <xf numFmtId="9" fontId="10" fillId="28" borderId="362" xfId="2"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2" fillId="28" borderId="35" xfId="0" applyFont="1" applyFill="1" applyBorder="1" applyAlignment="1">
      <alignment horizontal="center" vertical="center" wrapText="1"/>
    </xf>
    <xf numFmtId="0" fontId="10" fillId="28" borderId="29" xfId="0" applyFont="1" applyFill="1" applyBorder="1" applyAlignment="1">
      <alignment vertical="center" wrapText="1"/>
    </xf>
    <xf numFmtId="0" fontId="12" fillId="28" borderId="29" xfId="0" applyFont="1" applyFill="1" applyBorder="1" applyAlignment="1">
      <alignment horizontal="center" vertical="center" wrapText="1"/>
    </xf>
    <xf numFmtId="168" fontId="10" fillId="28" borderId="41" xfId="1" applyNumberFormat="1" applyFont="1" applyFill="1" applyBorder="1" applyAlignment="1">
      <alignment vertical="center" wrapText="1"/>
    </xf>
    <xf numFmtId="168" fontId="10" fillId="28" borderId="29" xfId="1" applyNumberFormat="1" applyFont="1" applyFill="1" applyBorder="1" applyAlignment="1">
      <alignment horizontal="center" vertical="center" wrapText="1"/>
    </xf>
    <xf numFmtId="168" fontId="10" fillId="28" borderId="29" xfId="1" applyNumberFormat="1" applyFont="1" applyFill="1" applyBorder="1" applyAlignment="1">
      <alignment vertical="center" wrapText="1"/>
    </xf>
    <xf numFmtId="0" fontId="12" fillId="28" borderId="37" xfId="0" applyFont="1" applyFill="1" applyBorder="1" applyAlignment="1">
      <alignment horizontal="center" vertical="center" wrapText="1"/>
    </xf>
    <xf numFmtId="0" fontId="10" fillId="28" borderId="25" xfId="0" applyFont="1" applyFill="1" applyBorder="1" applyAlignment="1">
      <alignment vertical="center" wrapText="1"/>
    </xf>
    <xf numFmtId="0" fontId="12" fillId="28" borderId="25" xfId="0" applyFont="1" applyFill="1" applyBorder="1" applyAlignment="1">
      <alignment horizontal="center" vertical="center" wrapText="1"/>
    </xf>
    <xf numFmtId="168" fontId="10" fillId="28" borderId="70" xfId="1" applyNumberFormat="1" applyFont="1" applyFill="1" applyBorder="1" applyAlignment="1">
      <alignment vertical="center" wrapText="1"/>
    </xf>
    <xf numFmtId="168" fontId="10" fillId="28" borderId="25" xfId="1" applyNumberFormat="1" applyFont="1" applyFill="1" applyBorder="1" applyAlignment="1">
      <alignment vertical="center" wrapText="1"/>
    </xf>
    <xf numFmtId="0" fontId="12" fillId="28" borderId="40" xfId="0" applyFont="1" applyFill="1" applyBorder="1" applyAlignment="1">
      <alignment horizontal="center" vertical="center" wrapText="1"/>
    </xf>
    <xf numFmtId="0" fontId="10" fillId="28" borderId="33" xfId="0" applyFont="1" applyFill="1" applyBorder="1" applyAlignment="1">
      <alignment vertical="center" wrapText="1"/>
    </xf>
    <xf numFmtId="0" fontId="12" fillId="28" borderId="33" xfId="0" applyFont="1" applyFill="1" applyBorder="1" applyAlignment="1">
      <alignment horizontal="center" vertical="center" wrapText="1"/>
    </xf>
    <xf numFmtId="168" fontId="10" fillId="28" borderId="8" xfId="1" applyNumberFormat="1" applyFont="1" applyFill="1" applyBorder="1" applyAlignment="1">
      <alignment vertical="center" wrapText="1"/>
    </xf>
    <xf numFmtId="168" fontId="10" fillId="28" borderId="33" xfId="1" applyNumberFormat="1" applyFont="1" applyFill="1" applyBorder="1" applyAlignment="1">
      <alignment vertical="center" wrapText="1"/>
    </xf>
    <xf numFmtId="0" fontId="12" fillId="0" borderId="0" xfId="0" applyFont="1" applyAlignment="1">
      <alignment vertical="center" wrapText="1"/>
    </xf>
    <xf numFmtId="0" fontId="10" fillId="0" borderId="0" xfId="0" applyFont="1" applyAlignment="1">
      <alignment vertical="center" wrapText="1"/>
    </xf>
    <xf numFmtId="168" fontId="10" fillId="0" borderId="0" xfId="0" applyNumberFormat="1" applyFont="1" applyAlignment="1">
      <alignment vertical="center" wrapText="1"/>
    </xf>
    <xf numFmtId="0" fontId="0" fillId="26" borderId="127" xfId="0" applyFill="1" applyBorder="1"/>
    <xf numFmtId="0" fontId="12" fillId="26" borderId="42" xfId="0" applyFont="1" applyFill="1" applyBorder="1" applyAlignment="1">
      <alignment vertical="center" wrapText="1"/>
    </xf>
    <xf numFmtId="0" fontId="10" fillId="26" borderId="42" xfId="0" applyFont="1" applyFill="1" applyBorder="1" applyAlignment="1">
      <alignment vertical="center" wrapText="1"/>
    </xf>
    <xf numFmtId="0" fontId="12" fillId="26" borderId="42" xfId="0" applyFont="1" applyFill="1" applyBorder="1" applyAlignment="1">
      <alignment horizontal="center" vertical="center" wrapText="1"/>
    </xf>
    <xf numFmtId="9" fontId="10" fillId="26" borderId="42" xfId="2" applyFont="1" applyFill="1" applyBorder="1" applyAlignment="1">
      <alignment vertical="center" wrapText="1"/>
    </xf>
    <xf numFmtId="0" fontId="10" fillId="26" borderId="43" xfId="0" applyFont="1" applyFill="1" applyBorder="1" applyAlignment="1">
      <alignment vertical="center" wrapText="1"/>
    </xf>
    <xf numFmtId="0" fontId="0" fillId="26" borderId="46" xfId="0" applyFill="1" applyBorder="1"/>
    <xf numFmtId="0" fontId="12" fillId="26" borderId="47" xfId="0" applyFont="1" applyFill="1" applyBorder="1" applyAlignment="1">
      <alignment vertical="center" wrapText="1"/>
    </xf>
    <xf numFmtId="0" fontId="10" fillId="26" borderId="47" xfId="0" applyFont="1" applyFill="1" applyBorder="1" applyAlignment="1">
      <alignment vertical="center" wrapText="1"/>
    </xf>
    <xf numFmtId="0" fontId="12" fillId="26" borderId="47" xfId="0" applyFont="1" applyFill="1" applyBorder="1" applyAlignment="1">
      <alignment horizontal="center" vertical="center" wrapText="1"/>
    </xf>
    <xf numFmtId="9" fontId="10" fillId="26" borderId="47" xfId="2" applyFont="1" applyFill="1" applyBorder="1" applyAlignment="1">
      <alignment vertical="center" wrapText="1"/>
    </xf>
    <xf numFmtId="0" fontId="10" fillId="26" borderId="48" xfId="0" applyFont="1" applyFill="1" applyBorder="1" applyAlignment="1">
      <alignment vertical="center" wrapText="1"/>
    </xf>
    <xf numFmtId="9" fontId="10" fillId="26" borderId="43" xfId="2" applyFont="1" applyFill="1" applyBorder="1" applyAlignment="1">
      <alignment vertical="center" wrapText="1"/>
    </xf>
    <xf numFmtId="0" fontId="0" fillId="26" borderId="44" xfId="0" applyFill="1" applyBorder="1"/>
    <xf numFmtId="0" fontId="12" fillId="26" borderId="13" xfId="0" applyFont="1" applyFill="1" applyBorder="1" applyAlignment="1">
      <alignment vertical="center" wrapText="1"/>
    </xf>
    <xf numFmtId="0" fontId="10" fillId="26" borderId="13" xfId="0" applyFont="1" applyFill="1" applyBorder="1" applyAlignment="1">
      <alignment vertical="center" wrapText="1"/>
    </xf>
    <xf numFmtId="0" fontId="12" fillId="26" borderId="13" xfId="0" applyFont="1" applyFill="1" applyBorder="1" applyAlignment="1">
      <alignment horizontal="center" vertical="center" wrapText="1"/>
    </xf>
    <xf numFmtId="9" fontId="10" fillId="26" borderId="13" xfId="2" applyFont="1" applyFill="1" applyBorder="1" applyAlignment="1">
      <alignment vertical="center" wrapText="1"/>
    </xf>
    <xf numFmtId="9" fontId="10" fillId="26" borderId="45" xfId="2" applyFont="1" applyFill="1" applyBorder="1" applyAlignment="1">
      <alignment vertical="center" wrapText="1"/>
    </xf>
    <xf numFmtId="9" fontId="10" fillId="26" borderId="48" xfId="2" applyFont="1" applyFill="1" applyBorder="1" applyAlignment="1">
      <alignment vertical="center" wrapText="1"/>
    </xf>
    <xf numFmtId="0" fontId="28" fillId="0" borderId="49"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12" fillId="27" borderId="13" xfId="0" applyFont="1" applyFill="1" applyBorder="1" applyAlignment="1">
      <alignment horizontal="center" vertical="center" wrapText="1"/>
    </xf>
    <xf numFmtId="168" fontId="10" fillId="27" borderId="13" xfId="0" applyNumberFormat="1" applyFont="1" applyFill="1" applyBorder="1" applyAlignment="1">
      <alignment vertical="center" wrapText="1"/>
    </xf>
    <xf numFmtId="168" fontId="10" fillId="27" borderId="24" xfId="0" applyNumberFormat="1" applyFont="1" applyFill="1" applyBorder="1" applyAlignment="1">
      <alignment vertical="center" wrapText="1"/>
    </xf>
    <xf numFmtId="168" fontId="28" fillId="0" borderId="268" xfId="0" applyNumberFormat="1" applyFont="1" applyBorder="1" applyAlignment="1">
      <alignment horizontal="center" vertical="center" wrapText="1"/>
    </xf>
    <xf numFmtId="168" fontId="28" fillId="0" borderId="20" xfId="0" applyNumberFormat="1" applyFont="1" applyBorder="1" applyAlignment="1">
      <alignment horizontal="center" vertical="center" wrapText="1"/>
    </xf>
    <xf numFmtId="0" fontId="28" fillId="0" borderId="55" xfId="0" applyFont="1" applyBorder="1" applyAlignment="1">
      <alignment horizontal="center"/>
    </xf>
    <xf numFmtId="0" fontId="12" fillId="71" borderId="13" xfId="0" applyFont="1" applyFill="1" applyBorder="1" applyAlignment="1">
      <alignment horizontal="center" vertical="center" wrapText="1"/>
    </xf>
    <xf numFmtId="168" fontId="10" fillId="71" borderId="13" xfId="0" applyNumberFormat="1" applyFont="1" applyFill="1" applyBorder="1" applyAlignment="1">
      <alignment vertical="center" wrapText="1"/>
    </xf>
    <xf numFmtId="168" fontId="10" fillId="71" borderId="24" xfId="0" applyNumberFormat="1" applyFont="1" applyFill="1" applyBorder="1" applyAlignment="1">
      <alignment vertical="center" wrapText="1"/>
    </xf>
    <xf numFmtId="168" fontId="28" fillId="0" borderId="44" xfId="0" applyNumberFormat="1" applyFont="1" applyBorder="1" applyAlignment="1">
      <alignment horizontal="center" vertical="center" wrapText="1"/>
    </xf>
    <xf numFmtId="168" fontId="28" fillId="0" borderId="13" xfId="0" applyNumberFormat="1" applyFont="1" applyBorder="1" applyAlignment="1">
      <alignment horizontal="center" vertical="center" wrapText="1"/>
    </xf>
    <xf numFmtId="9" fontId="28" fillId="0" borderId="45" xfId="2" applyFont="1" applyBorder="1" applyAlignment="1">
      <alignment horizontal="center"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168" fontId="10" fillId="70" borderId="24" xfId="0" applyNumberFormat="1" applyFont="1" applyFill="1" applyBorder="1" applyAlignment="1">
      <alignment vertical="center" wrapText="1"/>
    </xf>
    <xf numFmtId="168" fontId="10" fillId="26" borderId="13" xfId="0" applyNumberFormat="1" applyFont="1" applyFill="1" applyBorder="1" applyAlignment="1">
      <alignment vertical="center" wrapText="1"/>
    </xf>
    <xf numFmtId="168" fontId="10" fillId="26" borderId="24"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68" fontId="10" fillId="28" borderId="24" xfId="0" applyNumberFormat="1" applyFont="1" applyFill="1" applyBorder="1" applyAlignment="1">
      <alignment vertical="center" wrapText="1"/>
    </xf>
    <xf numFmtId="168" fontId="28" fillId="0" borderId="46" xfId="0" applyNumberFormat="1" applyFont="1" applyBorder="1" applyAlignment="1">
      <alignment horizontal="center" vertical="center" wrapText="1"/>
    </xf>
    <xf numFmtId="168" fontId="28" fillId="0" borderId="47" xfId="0" applyNumberFormat="1" applyFont="1" applyBorder="1" applyAlignment="1">
      <alignment horizontal="center" vertical="center" wrapText="1"/>
    </xf>
    <xf numFmtId="9" fontId="28" fillId="0" borderId="48" xfId="2" applyFont="1" applyBorder="1" applyAlignment="1">
      <alignment horizontal="center" vertical="center" wrapText="1"/>
    </xf>
    <xf numFmtId="165" fontId="10" fillId="0" borderId="0" xfId="3" applyFont="1" applyAlignment="1">
      <alignment vertical="center" wrapText="1"/>
    </xf>
    <xf numFmtId="10" fontId="10" fillId="71" borderId="13" xfId="2" applyNumberFormat="1" applyFont="1" applyFill="1" applyBorder="1" applyAlignment="1">
      <alignment vertical="center" wrapText="1"/>
    </xf>
    <xf numFmtId="10" fontId="10" fillId="70" borderId="13" xfId="2" applyNumberFormat="1" applyFont="1" applyFill="1" applyBorder="1" applyAlignment="1">
      <alignment vertical="center" wrapText="1"/>
    </xf>
    <xf numFmtId="10" fontId="10" fillId="26" borderId="13" xfId="2" applyNumberFormat="1" applyFont="1" applyFill="1" applyBorder="1" applyAlignment="1">
      <alignment vertical="center" wrapText="1"/>
    </xf>
    <xf numFmtId="10" fontId="10" fillId="28" borderId="13" xfId="2" applyNumberFormat="1" applyFont="1" applyFill="1" applyBorder="1" applyAlignment="1">
      <alignment vertical="center" wrapText="1"/>
    </xf>
    <xf numFmtId="0" fontId="278" fillId="0" borderId="35" xfId="0" applyFont="1" applyBorder="1" applyAlignment="1">
      <alignment horizontal="left" vertical="center"/>
    </xf>
    <xf numFmtId="0" fontId="278" fillId="0" borderId="29" xfId="0" applyFont="1" applyBorder="1" applyAlignment="1">
      <alignment horizontal="left" vertical="center"/>
    </xf>
    <xf numFmtId="0" fontId="26" fillId="0" borderId="29" xfId="0" applyFont="1" applyBorder="1"/>
    <xf numFmtId="0" fontId="26" fillId="0" borderId="30" xfId="0" applyFont="1" applyBorder="1"/>
    <xf numFmtId="0" fontId="279" fillId="0" borderId="35" xfId="0" applyFont="1" applyBorder="1" applyAlignment="1">
      <alignment horizontal="left" vertical="center"/>
    </xf>
    <xf numFmtId="0" fontId="279" fillId="0" borderId="29" xfId="0" applyFont="1" applyBorder="1" applyAlignment="1">
      <alignment horizontal="center" vertical="center"/>
    </xf>
    <xf numFmtId="0" fontId="279" fillId="0" borderId="29" xfId="0" applyFont="1" applyBorder="1" applyAlignment="1">
      <alignment horizontal="left" vertical="center"/>
    </xf>
    <xf numFmtId="0" fontId="278" fillId="0" borderId="37" xfId="0" applyFont="1" applyBorder="1" applyAlignment="1">
      <alignment horizontal="left" vertical="center"/>
    </xf>
    <xf numFmtId="0" fontId="278" fillId="0" borderId="0" xfId="0" applyFont="1" applyAlignment="1">
      <alignment horizontal="left" vertical="center"/>
    </xf>
    <xf numFmtId="0" fontId="26" fillId="0" borderId="7" xfId="0" applyFont="1" applyBorder="1"/>
    <xf numFmtId="0" fontId="279" fillId="0" borderId="37" xfId="0" applyFont="1" applyBorder="1" applyAlignment="1">
      <alignment horizontal="left" vertical="center"/>
    </xf>
    <xf numFmtId="0" fontId="279" fillId="0" borderId="0" xfId="0" applyFont="1" applyAlignment="1">
      <alignment horizontal="center" vertical="center"/>
    </xf>
    <xf numFmtId="0" fontId="279" fillId="0" borderId="0" xfId="0" applyFont="1" applyAlignment="1">
      <alignment horizontal="left" vertical="center"/>
    </xf>
    <xf numFmtId="0" fontId="0" fillId="0" borderId="37" xfId="0" applyBorder="1" applyAlignment="1">
      <alignment horizontal="center" vertical="top" wrapText="1"/>
    </xf>
    <xf numFmtId="0" fontId="0" fillId="0" borderId="0" xfId="0" applyAlignment="1">
      <alignment horizontal="center" vertical="top" wrapText="1"/>
    </xf>
    <xf numFmtId="0" fontId="157" fillId="0" borderId="0" xfId="0" applyFont="1" applyAlignment="1">
      <alignment horizontal="center" vertical="center" wrapText="1"/>
    </xf>
    <xf numFmtId="0" fontId="157" fillId="0" borderId="7" xfId="0" applyFont="1" applyBorder="1" applyAlignment="1">
      <alignment horizontal="center" vertical="center" wrapText="1"/>
    </xf>
    <xf numFmtId="0" fontId="0" fillId="0" borderId="37" xfId="0" applyBorder="1" applyAlignment="1">
      <alignment horizontal="center" wrapText="1"/>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0" fontId="0" fillId="0" borderId="37" xfId="0" applyBorder="1" applyAlignment="1">
      <alignment horizontal="center" vertical="center"/>
    </xf>
    <xf numFmtId="0" fontId="26" fillId="0" borderId="0" xfId="0" applyFont="1" applyAlignment="1">
      <alignment horizontal="center" vertical="center"/>
    </xf>
    <xf numFmtId="0" fontId="157" fillId="132" borderId="37" xfId="0" applyFont="1" applyFill="1" applyBorder="1" applyAlignment="1">
      <alignment vertical="center"/>
    </xf>
    <xf numFmtId="0" fontId="157" fillId="132" borderId="0" xfId="0" applyFont="1" applyFill="1" applyAlignment="1">
      <alignment vertical="center"/>
    </xf>
    <xf numFmtId="3" fontId="138" fillId="132" borderId="0" xfId="0" applyNumberFormat="1" applyFont="1" applyFill="1" applyAlignment="1">
      <alignment horizontal="right" vertical="center"/>
    </xf>
    <xf numFmtId="3" fontId="138" fillId="26" borderId="0" xfId="0" applyNumberFormat="1" applyFont="1" applyFill="1" applyAlignment="1">
      <alignment horizontal="right" vertical="center"/>
    </xf>
    <xf numFmtId="3" fontId="138" fillId="28" borderId="0" xfId="0" applyNumberFormat="1" applyFont="1" applyFill="1" applyAlignment="1">
      <alignment horizontal="right" vertical="center"/>
    </xf>
    <xf numFmtId="3" fontId="138" fillId="0" borderId="0" xfId="0" applyNumberFormat="1" applyFont="1" applyAlignment="1">
      <alignment horizontal="right" vertical="center"/>
    </xf>
    <xf numFmtId="3" fontId="138" fillId="132" borderId="7" xfId="0" applyNumberFormat="1" applyFont="1" applyFill="1" applyBorder="1" applyAlignment="1">
      <alignment horizontal="right" vertical="center"/>
    </xf>
    <xf numFmtId="0" fontId="157" fillId="132" borderId="0" xfId="0" applyFont="1" applyFill="1" applyAlignment="1">
      <alignment horizontal="center" vertical="center"/>
    </xf>
    <xf numFmtId="168" fontId="138" fillId="132" borderId="0" xfId="1" applyNumberFormat="1" applyFont="1" applyFill="1" applyBorder="1" applyAlignment="1">
      <alignment vertical="center"/>
    </xf>
    <xf numFmtId="168" fontId="138" fillId="132" borderId="0" xfId="1" applyNumberFormat="1" applyFont="1" applyFill="1" applyBorder="1" applyAlignment="1">
      <alignment horizontal="right" vertical="center"/>
    </xf>
    <xf numFmtId="168" fontId="138" fillId="26" borderId="0" xfId="1" applyNumberFormat="1" applyFont="1" applyFill="1" applyBorder="1" applyAlignment="1">
      <alignment horizontal="right" vertical="center"/>
    </xf>
    <xf numFmtId="168" fontId="138" fillId="28" borderId="0" xfId="1" applyNumberFormat="1" applyFont="1" applyFill="1" applyBorder="1" applyAlignment="1">
      <alignment horizontal="right" vertical="center"/>
    </xf>
    <xf numFmtId="168" fontId="138" fillId="0" borderId="0" xfId="1" applyNumberFormat="1" applyFont="1" applyFill="1" applyBorder="1" applyAlignment="1">
      <alignment horizontal="right" vertical="center"/>
    </xf>
    <xf numFmtId="168" fontId="138" fillId="132" borderId="7" xfId="1" applyNumberFormat="1" applyFont="1" applyFill="1" applyBorder="1" applyAlignment="1">
      <alignment horizontal="right" vertical="center"/>
    </xf>
    <xf numFmtId="0" fontId="0" fillId="26" borderId="0" xfId="0" applyFill="1"/>
    <xf numFmtId="0" fontId="0" fillId="28" borderId="0" xfId="0" applyFill="1"/>
    <xf numFmtId="0" fontId="0" fillId="0" borderId="7" xfId="0" applyBorder="1"/>
    <xf numFmtId="0" fontId="0" fillId="0" borderId="37" xfId="0" applyBorder="1" applyAlignment="1">
      <alignment horizontal="right"/>
    </xf>
    <xf numFmtId="168" fontId="26" fillId="0" borderId="0" xfId="1" applyNumberFormat="1" applyFont="1" applyBorder="1"/>
    <xf numFmtId="168" fontId="26" fillId="26" borderId="0" xfId="1" applyNumberFormat="1" applyFont="1" applyFill="1" applyBorder="1"/>
    <xf numFmtId="168" fontId="26" fillId="28" borderId="0" xfId="1" applyNumberFormat="1" applyFont="1" applyFill="1" applyBorder="1"/>
    <xf numFmtId="168" fontId="26" fillId="0" borderId="0" xfId="1" applyNumberFormat="1" applyFont="1" applyFill="1" applyBorder="1"/>
    <xf numFmtId="168" fontId="26" fillId="0" borderId="7" xfId="1" applyNumberFormat="1" applyFont="1" applyBorder="1"/>
    <xf numFmtId="43" fontId="0" fillId="0" borderId="0" xfId="0" applyNumberFormat="1"/>
    <xf numFmtId="0" fontId="157" fillId="0" borderId="37" xfId="0" applyFont="1" applyBorder="1" applyAlignment="1">
      <alignment vertical="center"/>
    </xf>
    <xf numFmtId="0" fontId="157" fillId="0" borderId="0" xfId="0" applyFont="1" applyAlignment="1">
      <alignment vertical="center"/>
    </xf>
    <xf numFmtId="9" fontId="0" fillId="0" borderId="0" xfId="2" applyFont="1" applyBorder="1"/>
    <xf numFmtId="9" fontId="0" fillId="0" borderId="0" xfId="2" applyFont="1" applyFill="1" applyBorder="1" applyAlignment="1">
      <alignment horizontal="center"/>
    </xf>
    <xf numFmtId="167" fontId="26" fillId="0" borderId="0" xfId="2" applyNumberFormat="1" applyFont="1" applyBorder="1"/>
    <xf numFmtId="167" fontId="26" fillId="26" borderId="0" xfId="2" applyNumberFormat="1" applyFont="1" applyFill="1" applyBorder="1"/>
    <xf numFmtId="167" fontId="26" fillId="28" borderId="0" xfId="2" applyNumberFormat="1" applyFont="1" applyFill="1" applyBorder="1"/>
    <xf numFmtId="167" fontId="26" fillId="0" borderId="0" xfId="2" applyNumberFormat="1" applyFont="1" applyFill="1" applyBorder="1"/>
    <xf numFmtId="167" fontId="26" fillId="0" borderId="7" xfId="2" applyNumberFormat="1" applyFont="1" applyBorder="1"/>
    <xf numFmtId="0" fontId="281" fillId="0" borderId="37" xfId="0" applyFont="1" applyBorder="1" applyAlignment="1">
      <alignment vertical="center"/>
    </xf>
    <xf numFmtId="0" fontId="281" fillId="0" borderId="0" xfId="0" applyFont="1" applyAlignment="1">
      <alignment vertical="center"/>
    </xf>
    <xf numFmtId="3" fontId="281" fillId="0" borderId="0" xfId="0" applyNumberFormat="1" applyFont="1" applyAlignment="1">
      <alignment horizontal="right" vertical="center"/>
    </xf>
    <xf numFmtId="9" fontId="281" fillId="0" borderId="0" xfId="2" applyFont="1" applyBorder="1"/>
    <xf numFmtId="166" fontId="281" fillId="0" borderId="0" xfId="1" applyFont="1" applyBorder="1"/>
    <xf numFmtId="168" fontId="281" fillId="0" borderId="0" xfId="1" applyNumberFormat="1" applyFont="1" applyBorder="1"/>
    <xf numFmtId="168" fontId="281" fillId="0" borderId="0" xfId="1" applyNumberFormat="1" applyFont="1" applyFill="1" applyBorder="1" applyAlignment="1">
      <alignment horizontal="center"/>
    </xf>
    <xf numFmtId="166" fontId="281" fillId="0" borderId="7" xfId="1" applyFont="1" applyBorder="1"/>
    <xf numFmtId="0" fontId="281" fillId="0" borderId="0" xfId="0" applyFont="1"/>
    <xf numFmtId="0" fontId="281" fillId="0" borderId="37" xfId="0" applyFont="1" applyBorder="1" applyAlignment="1">
      <alignment horizontal="right"/>
    </xf>
    <xf numFmtId="0" fontId="281" fillId="0" borderId="0" xfId="0" applyFont="1" applyAlignment="1">
      <alignment horizontal="center"/>
    </xf>
    <xf numFmtId="168" fontId="281" fillId="0" borderId="0" xfId="2" applyNumberFormat="1" applyFont="1" applyBorder="1"/>
    <xf numFmtId="168" fontId="281" fillId="26" borderId="0" xfId="2" applyNumberFormat="1" applyFont="1" applyFill="1" applyBorder="1"/>
    <xf numFmtId="168" fontId="281" fillId="28" borderId="0" xfId="2" applyNumberFormat="1" applyFont="1" applyFill="1" applyBorder="1"/>
    <xf numFmtId="168" fontId="281" fillId="0" borderId="0" xfId="2" applyNumberFormat="1" applyFont="1" applyFill="1" applyBorder="1"/>
    <xf numFmtId="168" fontId="281" fillId="0" borderId="7" xfId="2" applyNumberFormat="1" applyFont="1" applyBorder="1"/>
    <xf numFmtId="0" fontId="282" fillId="0" borderId="0" xfId="0" applyFont="1" applyAlignment="1">
      <alignment horizontal="left" vertical="center" wrapText="1"/>
    </xf>
    <xf numFmtId="0" fontId="282" fillId="0" borderId="0" xfId="0" applyFont="1" applyAlignment="1">
      <alignment horizontal="center" vertical="center" wrapText="1"/>
    </xf>
    <xf numFmtId="0" fontId="282" fillId="0" borderId="7" xfId="0" applyFont="1" applyBorder="1" applyAlignment="1">
      <alignment horizontal="left" vertical="center" wrapText="1"/>
    </xf>
    <xf numFmtId="0" fontId="284" fillId="26" borderId="0" xfId="0" applyFont="1" applyFill="1" applyAlignment="1">
      <alignment horizontal="center" vertical="center" wrapText="1"/>
    </xf>
    <xf numFmtId="0" fontId="284" fillId="28" borderId="0" xfId="0" applyFont="1" applyFill="1" applyAlignment="1">
      <alignment horizontal="center" vertical="center" wrapText="1"/>
    </xf>
    <xf numFmtId="0" fontId="284" fillId="0" borderId="0" xfId="0" applyFont="1" applyAlignment="1">
      <alignment horizontal="center" vertical="center" wrapText="1"/>
    </xf>
    <xf numFmtId="0" fontId="12" fillId="0" borderId="7" xfId="0" applyFont="1" applyBorder="1" applyAlignment="1">
      <alignment horizontal="center" vertical="center"/>
    </xf>
    <xf numFmtId="0" fontId="157" fillId="26" borderId="37" xfId="0" applyFont="1" applyFill="1" applyBorder="1" applyAlignment="1">
      <alignment vertical="center"/>
    </xf>
    <xf numFmtId="0" fontId="157" fillId="26" borderId="0" xfId="0" applyFont="1" applyFill="1" applyAlignment="1">
      <alignment vertical="center"/>
    </xf>
    <xf numFmtId="3" fontId="138" fillId="0" borderId="0" xfId="0" applyNumberFormat="1" applyFont="1" applyAlignment="1">
      <alignment horizontal="center" vertical="center"/>
    </xf>
    <xf numFmtId="3" fontId="138" fillId="0" borderId="7" xfId="0" applyNumberFormat="1" applyFont="1" applyBorder="1" applyAlignment="1">
      <alignment horizontal="right" vertical="center"/>
    </xf>
    <xf numFmtId="0" fontId="157" fillId="26" borderId="0" xfId="0" applyFont="1" applyFill="1" applyAlignment="1">
      <alignment horizontal="center" vertical="center"/>
    </xf>
    <xf numFmtId="168" fontId="157" fillId="26" borderId="0" xfId="1" applyNumberFormat="1" applyFont="1" applyFill="1" applyBorder="1" applyAlignment="1">
      <alignment vertical="center"/>
    </xf>
    <xf numFmtId="168" fontId="157" fillId="28" borderId="0" xfId="1" applyNumberFormat="1" applyFont="1" applyFill="1" applyBorder="1" applyAlignment="1">
      <alignment vertical="center"/>
    </xf>
    <xf numFmtId="168" fontId="157" fillId="26" borderId="7" xfId="1" applyNumberFormat="1" applyFont="1" applyFill="1" applyBorder="1" applyAlignment="1">
      <alignment vertical="center"/>
    </xf>
    <xf numFmtId="0" fontId="157" fillId="0" borderId="0" xfId="0" applyFont="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0" fontId="0" fillId="28" borderId="37" xfId="0" applyFill="1" applyBorder="1" applyAlignment="1">
      <alignment wrapText="1"/>
    </xf>
    <xf numFmtId="0" fontId="157" fillId="28" borderId="0" xfId="0" applyFont="1" applyFill="1" applyAlignment="1">
      <alignment horizontal="center" vertical="center"/>
    </xf>
    <xf numFmtId="168" fontId="0" fillId="28" borderId="0" xfId="1" applyNumberFormat="1" applyFont="1" applyFill="1" applyBorder="1" applyAlignment="1">
      <alignment wrapText="1"/>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xf numFmtId="0" fontId="0" fillId="0" borderId="40" xfId="0" applyBorder="1"/>
    <xf numFmtId="0" fontId="0" fillId="0" borderId="33" xfId="0" applyBorder="1"/>
    <xf numFmtId="0" fontId="0" fillId="0" borderId="9" xfId="0" applyBorder="1"/>
    <xf numFmtId="0" fontId="285" fillId="0" borderId="33" xfId="0" applyFont="1" applyBorder="1" applyAlignment="1">
      <alignment horizontal="center" vertical="center"/>
    </xf>
    <xf numFmtId="168" fontId="0" fillId="0" borderId="0" xfId="1" applyNumberFormat="1" applyFont="1" applyAlignment="1">
      <alignment vertical="center"/>
    </xf>
    <xf numFmtId="0" fontId="0" fillId="0" borderId="37" xfId="0" applyBorder="1" applyAlignment="1">
      <alignment horizontal="center" vertical="top"/>
    </xf>
    <xf numFmtId="0" fontId="157" fillId="0" borderId="7" xfId="0" applyFont="1" applyBorder="1" applyAlignment="1">
      <alignment horizontal="center" vertical="center"/>
    </xf>
    <xf numFmtId="0" fontId="12" fillId="0" borderId="37" xfId="0" applyFont="1" applyBorder="1" applyAlignment="1">
      <alignment horizontal="center" vertical="top" wrapText="1"/>
    </xf>
    <xf numFmtId="0" fontId="286" fillId="0" borderId="0" xfId="0" applyFont="1" applyAlignment="1">
      <alignment horizontal="center" vertical="center" wrapText="1"/>
    </xf>
    <xf numFmtId="0" fontId="286" fillId="0" borderId="7" xfId="0" applyFont="1" applyBorder="1" applyAlignment="1">
      <alignment horizontal="center" vertical="center" wrapText="1"/>
    </xf>
    <xf numFmtId="0" fontId="12" fillId="0" borderId="0" xfId="0" applyFont="1" applyAlignment="1">
      <alignment horizontal="center" wrapText="1"/>
    </xf>
    <xf numFmtId="0" fontId="12" fillId="0" borderId="37" xfId="0" applyFont="1" applyBorder="1" applyAlignment="1">
      <alignment horizontal="center" wrapText="1"/>
    </xf>
    <xf numFmtId="0" fontId="286" fillId="26" borderId="0" xfId="0" applyFont="1" applyFill="1" applyAlignment="1">
      <alignment horizontal="center" vertical="center" wrapText="1"/>
    </xf>
    <xf numFmtId="0" fontId="286" fillId="3" borderId="0" xfId="0" applyFont="1" applyFill="1" applyAlignment="1">
      <alignment horizontal="center" vertical="center" wrapText="1"/>
    </xf>
    <xf numFmtId="0" fontId="286" fillId="105" borderId="0" xfId="0" applyFont="1" applyFill="1" applyAlignment="1">
      <alignment horizontal="center" vertical="center" wrapText="1"/>
    </xf>
    <xf numFmtId="0" fontId="286" fillId="28" borderId="0" xfId="0" applyFont="1" applyFill="1" applyAlignment="1">
      <alignment horizontal="center" vertical="center" wrapText="1"/>
    </xf>
    <xf numFmtId="0" fontId="157" fillId="132" borderId="37" xfId="0" applyFont="1" applyFill="1" applyBorder="1" applyAlignment="1">
      <alignment vertical="center" wrapText="1"/>
    </xf>
    <xf numFmtId="3" fontId="157" fillId="132" borderId="0" xfId="0" applyNumberFormat="1" applyFont="1" applyFill="1" applyAlignment="1">
      <alignment horizontal="right" vertical="center"/>
    </xf>
    <xf numFmtId="3" fontId="157" fillId="105" borderId="0" xfId="0" applyNumberFormat="1" applyFont="1" applyFill="1" applyAlignment="1">
      <alignment horizontal="right" vertical="center"/>
    </xf>
    <xf numFmtId="3" fontId="157" fillId="28" borderId="0" xfId="0" applyNumberFormat="1" applyFont="1" applyFill="1" applyAlignment="1">
      <alignment horizontal="right" vertical="center"/>
    </xf>
    <xf numFmtId="3" fontId="157" fillId="132" borderId="7" xfId="0" applyNumberFormat="1" applyFont="1" applyFill="1" applyBorder="1" applyAlignment="1">
      <alignment horizontal="right" vertical="center"/>
    </xf>
    <xf numFmtId="0" fontId="0" fillId="0" borderId="37" xfId="0" applyBorder="1" applyAlignment="1">
      <alignment wrapText="1"/>
    </xf>
    <xf numFmtId="0" fontId="157" fillId="132" borderId="0" xfId="0" applyFont="1" applyFill="1" applyAlignment="1">
      <alignment vertical="center" wrapText="1"/>
    </xf>
    <xf numFmtId="168" fontId="138" fillId="132" borderId="0" xfId="1" applyNumberFormat="1" applyFont="1" applyFill="1" applyBorder="1" applyAlignment="1">
      <alignment vertical="center" wrapText="1"/>
    </xf>
    <xf numFmtId="168" fontId="138" fillId="132" borderId="0" xfId="1" applyNumberFormat="1" applyFont="1" applyFill="1" applyBorder="1" applyAlignment="1">
      <alignment horizontal="right" vertical="center" wrapText="1"/>
    </xf>
    <xf numFmtId="168" fontId="138" fillId="26" borderId="0" xfId="1" applyNumberFormat="1" applyFont="1" applyFill="1" applyBorder="1" applyAlignment="1">
      <alignment horizontal="right" vertical="center" wrapText="1"/>
    </xf>
    <xf numFmtId="168" fontId="138" fillId="28" borderId="0" xfId="1" applyNumberFormat="1" applyFont="1" applyFill="1" applyBorder="1" applyAlignment="1">
      <alignment horizontal="right" vertical="center" wrapText="1"/>
    </xf>
    <xf numFmtId="168" fontId="138" fillId="132" borderId="7" xfId="1" applyNumberFormat="1" applyFont="1" applyFill="1" applyBorder="1" applyAlignment="1">
      <alignment horizontal="right" vertical="center" wrapText="1"/>
    </xf>
    <xf numFmtId="0" fontId="0" fillId="105" borderId="0" xfId="0" applyFill="1"/>
    <xf numFmtId="0" fontId="0" fillId="0" borderId="0" xfId="0" applyAlignment="1">
      <alignment horizontal="right"/>
    </xf>
    <xf numFmtId="9" fontId="0" fillId="28" borderId="0" xfId="2" applyFont="1" applyFill="1" applyBorder="1"/>
    <xf numFmtId="9" fontId="26" fillId="0" borderId="0" xfId="2" applyFont="1" applyBorder="1"/>
    <xf numFmtId="9" fontId="26" fillId="28" borderId="0" xfId="2" applyFont="1" applyFill="1" applyBorder="1"/>
    <xf numFmtId="9" fontId="26" fillId="0" borderId="7" xfId="2" applyFont="1" applyBorder="1"/>
    <xf numFmtId="0" fontId="283" fillId="0" borderId="0" xfId="0" applyFont="1" applyAlignment="1">
      <alignment wrapText="1"/>
    </xf>
    <xf numFmtId="0" fontId="283" fillId="26" borderId="0" xfId="0" applyFont="1" applyFill="1" applyAlignment="1">
      <alignment wrapText="1"/>
    </xf>
    <xf numFmtId="0" fontId="283" fillId="28" borderId="0" xfId="0" applyFont="1" applyFill="1" applyAlignment="1">
      <alignment wrapText="1"/>
    </xf>
    <xf numFmtId="0" fontId="283" fillId="0" borderId="7" xfId="0" applyFont="1" applyBorder="1" applyAlignment="1">
      <alignment wrapText="1"/>
    </xf>
    <xf numFmtId="0" fontId="285" fillId="0" borderId="0" xfId="0" applyFont="1" applyAlignment="1">
      <alignment horizontal="center" vertical="center" wrapText="1"/>
    </xf>
    <xf numFmtId="0" fontId="26" fillId="0" borderId="37" xfId="0" applyFont="1" applyBorder="1" applyAlignment="1">
      <alignment vertical="center"/>
    </xf>
    <xf numFmtId="0" fontId="157" fillId="26" borderId="37" xfId="0" applyFont="1" applyFill="1" applyBorder="1" applyAlignment="1">
      <alignment vertical="center" wrapText="1"/>
    </xf>
    <xf numFmtId="168" fontId="157" fillId="105" borderId="0" xfId="1" applyNumberFormat="1" applyFont="1" applyFill="1" applyBorder="1" applyAlignment="1">
      <alignment vertical="center"/>
    </xf>
    <xf numFmtId="0" fontId="285" fillId="0" borderId="33" xfId="0" applyFont="1" applyBorder="1" applyAlignment="1">
      <alignment horizontal="left" vertical="center"/>
    </xf>
    <xf numFmtId="0" fontId="0" fillId="0" borderId="0" xfId="0" applyAlignment="1">
      <alignment horizontal="center" vertical="top"/>
    </xf>
    <xf numFmtId="0" fontId="12" fillId="0" borderId="0" xfId="0" applyFont="1" applyAlignment="1">
      <alignment horizontal="center" vertical="top" wrapText="1"/>
    </xf>
    <xf numFmtId="168" fontId="0" fillId="26" borderId="0" xfId="1" applyNumberFormat="1" applyFont="1" applyFill="1" applyBorder="1"/>
    <xf numFmtId="168" fontId="0" fillId="28" borderId="0" xfId="1" applyNumberFormat="1" applyFont="1" applyFill="1" applyBorder="1"/>
    <xf numFmtId="168" fontId="0" fillId="0" borderId="0" xfId="1" applyNumberFormat="1" applyFont="1" applyFill="1" applyBorder="1"/>
    <xf numFmtId="168" fontId="0" fillId="0" borderId="7" xfId="1" applyNumberFormat="1" applyFont="1" applyBorder="1"/>
    <xf numFmtId="168" fontId="282" fillId="0" borderId="0" xfId="1" applyNumberFormat="1" applyFont="1" applyBorder="1" applyAlignment="1">
      <alignment horizontal="left" vertical="center" wrapText="1"/>
    </xf>
    <xf numFmtId="168" fontId="282" fillId="26" borderId="0" xfId="1" applyNumberFormat="1" applyFont="1" applyFill="1" applyBorder="1" applyAlignment="1">
      <alignment horizontal="left" vertical="center" wrapText="1"/>
    </xf>
    <xf numFmtId="168" fontId="282" fillId="28" borderId="0" xfId="1" applyNumberFormat="1" applyFont="1" applyFill="1" applyBorder="1" applyAlignment="1">
      <alignment horizontal="left" vertical="center" wrapText="1"/>
    </xf>
    <xf numFmtId="168" fontId="282" fillId="0" borderId="7" xfId="1" applyNumberFormat="1" applyFont="1" applyBorder="1" applyAlignment="1">
      <alignment horizontal="left" vertical="center" wrapText="1"/>
    </xf>
    <xf numFmtId="168" fontId="138" fillId="0" borderId="0" xfId="1" applyNumberFormat="1" applyFont="1" applyBorder="1" applyAlignment="1">
      <alignment horizontal="right" vertical="center"/>
    </xf>
    <xf numFmtId="168" fontId="285" fillId="0" borderId="0" xfId="1" applyNumberFormat="1" applyFont="1" applyBorder="1" applyAlignment="1">
      <alignment horizontal="left" vertical="center" wrapText="1"/>
    </xf>
    <xf numFmtId="168" fontId="285" fillId="26" borderId="0" xfId="1" applyNumberFormat="1" applyFont="1" applyFill="1" applyBorder="1" applyAlignment="1">
      <alignment horizontal="left" vertical="center" wrapText="1"/>
    </xf>
    <xf numFmtId="168" fontId="285" fillId="28" borderId="0" xfId="1" applyNumberFormat="1" applyFont="1" applyFill="1" applyBorder="1" applyAlignment="1">
      <alignment horizontal="left" vertical="center" wrapText="1"/>
    </xf>
    <xf numFmtId="168" fontId="285" fillId="0" borderId="0" xfId="1" applyNumberFormat="1" applyFont="1" applyFill="1" applyBorder="1" applyAlignment="1">
      <alignment horizontal="left" vertical="center" wrapText="1"/>
    </xf>
    <xf numFmtId="168" fontId="285" fillId="0" borderId="7" xfId="1" applyNumberFormat="1" applyFont="1" applyBorder="1" applyAlignment="1">
      <alignment horizontal="left" vertical="center" wrapText="1"/>
    </xf>
    <xf numFmtId="168" fontId="285" fillId="0" borderId="0" xfId="1" applyNumberFormat="1" applyFont="1" applyBorder="1" applyAlignment="1">
      <alignment horizontal="center" vertical="center" wrapText="1"/>
    </xf>
    <xf numFmtId="168" fontId="285" fillId="26" borderId="0" xfId="1" applyNumberFormat="1" applyFont="1" applyFill="1" applyBorder="1" applyAlignment="1">
      <alignment horizontal="center" vertical="center" wrapText="1"/>
    </xf>
    <xf numFmtId="168" fontId="285" fillId="28" borderId="0" xfId="1" applyNumberFormat="1" applyFont="1" applyFill="1" applyBorder="1" applyAlignment="1">
      <alignment horizontal="center" vertical="center" wrapText="1"/>
    </xf>
    <xf numFmtId="168" fontId="285" fillId="0" borderId="0" xfId="1" applyNumberFormat="1" applyFont="1" applyFill="1" applyBorder="1" applyAlignment="1">
      <alignment horizontal="center" vertical="center" wrapText="1"/>
    </xf>
    <xf numFmtId="168" fontId="285" fillId="0" borderId="7" xfId="1" applyNumberFormat="1" applyFont="1" applyBorder="1" applyAlignment="1">
      <alignment horizontal="center" vertical="center" wrapText="1"/>
    </xf>
    <xf numFmtId="168" fontId="138" fillId="0" borderId="7"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3" fontId="138" fillId="0" borderId="33" xfId="0" applyNumberFormat="1" applyFont="1" applyBorder="1" applyAlignment="1">
      <alignment horizontal="right" vertical="center"/>
    </xf>
    <xf numFmtId="0" fontId="26" fillId="0" borderId="0" xfId="0" applyFont="1" applyAlignment="1">
      <alignment horizontal="center" wrapText="1"/>
    </xf>
    <xf numFmtId="0" fontId="26" fillId="0" borderId="7" xfId="0" applyFont="1" applyBorder="1" applyAlignment="1">
      <alignment horizontal="center" wrapText="1"/>
    </xf>
    <xf numFmtId="0" fontId="10" fillId="0" borderId="37" xfId="0" applyFont="1" applyBorder="1" applyAlignment="1">
      <alignment horizontal="center" vertical="top"/>
    </xf>
    <xf numFmtId="0" fontId="10" fillId="0" borderId="0" xfId="0" applyFont="1" applyAlignment="1">
      <alignment horizontal="center" vertical="top"/>
    </xf>
    <xf numFmtId="0" fontId="287" fillId="0" borderId="0" xfId="0" applyFont="1" applyAlignment="1">
      <alignment horizontal="center" vertical="center"/>
    </xf>
    <xf numFmtId="0" fontId="28" fillId="0" borderId="0" xfId="0" applyFont="1" applyAlignment="1">
      <alignment horizontal="center" wrapText="1"/>
    </xf>
    <xf numFmtId="0" fontId="28" fillId="0" borderId="7" xfId="0" applyFont="1" applyBorder="1" applyAlignment="1">
      <alignment horizontal="center" wrapText="1"/>
    </xf>
    <xf numFmtId="0" fontId="10" fillId="0" borderId="0" xfId="0" applyFont="1" applyAlignment="1">
      <alignment horizontal="center"/>
    </xf>
    <xf numFmtId="0" fontId="10" fillId="0" borderId="37" xfId="0" applyFont="1" applyBorder="1" applyAlignment="1">
      <alignment horizontal="center"/>
    </xf>
    <xf numFmtId="0" fontId="28" fillId="26" borderId="0" xfId="0" applyFont="1" applyFill="1" applyAlignment="1">
      <alignment horizontal="center" wrapText="1"/>
    </xf>
    <xf numFmtId="0" fontId="28" fillId="28" borderId="0" xfId="0" applyFont="1" applyFill="1" applyAlignment="1">
      <alignment horizontal="center" wrapText="1"/>
    </xf>
    <xf numFmtId="168" fontId="26" fillId="0" borderId="0" xfId="1" applyNumberFormat="1" applyFont="1" applyBorder="1" applyAlignment="1">
      <alignment vertical="center"/>
    </xf>
    <xf numFmtId="168" fontId="26" fillId="26" borderId="0" xfId="1" applyNumberFormat="1" applyFont="1" applyFill="1" applyBorder="1" applyAlignment="1">
      <alignment vertical="center"/>
    </xf>
    <xf numFmtId="168" fontId="26" fillId="28" borderId="0" xfId="1" applyNumberFormat="1" applyFont="1" applyFill="1" applyBorder="1" applyAlignment="1">
      <alignment vertical="center"/>
    </xf>
    <xf numFmtId="0" fontId="285" fillId="26" borderId="0" xfId="0" applyFont="1" applyFill="1" applyAlignment="1">
      <alignment horizontal="center" vertical="center" wrapText="1"/>
    </xf>
    <xf numFmtId="0" fontId="285" fillId="28" borderId="0" xfId="0" applyFont="1" applyFill="1" applyAlignment="1">
      <alignment horizontal="center" vertical="center" wrapText="1"/>
    </xf>
    <xf numFmtId="0" fontId="285"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87" fillId="0" borderId="7" xfId="0" applyFont="1" applyBorder="1" applyAlignment="1">
      <alignment horizontal="center" vertical="center"/>
    </xf>
    <xf numFmtId="0" fontId="287" fillId="26" borderId="0" xfId="0" applyFont="1" applyFill="1" applyAlignment="1">
      <alignment horizontal="center" vertical="center"/>
    </xf>
    <xf numFmtId="0" fontId="287" fillId="28" borderId="0" xfId="0" applyFont="1" applyFill="1" applyAlignment="1">
      <alignment horizontal="center" vertical="center"/>
    </xf>
    <xf numFmtId="0" fontId="285" fillId="0" borderId="0" xfId="0" applyFont="1" applyAlignment="1">
      <alignment horizontal="left" vertical="center" wrapText="1"/>
    </xf>
    <xf numFmtId="3" fontId="26" fillId="0" borderId="0" xfId="0" applyNumberFormat="1" applyFont="1"/>
    <xf numFmtId="3" fontId="26" fillId="0" borderId="0" xfId="0" applyNumberFormat="1" applyFont="1" applyAlignment="1">
      <alignment horizontal="center"/>
    </xf>
    <xf numFmtId="3" fontId="26" fillId="0" borderId="7" xfId="0" applyNumberFormat="1" applyFont="1" applyBorder="1"/>
    <xf numFmtId="9" fontId="0" fillId="0" borderId="7" xfId="2" applyFont="1" applyFill="1" applyBorder="1"/>
    <xf numFmtId="9" fontId="0" fillId="26" borderId="0" xfId="2" applyFont="1" applyFill="1" applyBorder="1"/>
    <xf numFmtId="9" fontId="0" fillId="0" borderId="0" xfId="2" applyFont="1" applyFill="1" applyBorder="1"/>
    <xf numFmtId="168" fontId="282" fillId="0" borderId="0" xfId="1" applyNumberFormat="1" applyFont="1" applyFill="1" applyBorder="1" applyAlignment="1">
      <alignment horizontal="left" vertical="center" wrapText="1"/>
    </xf>
    <xf numFmtId="168" fontId="282" fillId="0" borderId="7" xfId="1" applyNumberFormat="1" applyFont="1" applyFill="1" applyBorder="1" applyAlignment="1">
      <alignment horizontal="left" vertical="center" wrapText="1"/>
    </xf>
    <xf numFmtId="0" fontId="285" fillId="26" borderId="0" xfId="0" applyFont="1" applyFill="1" applyAlignment="1">
      <alignment horizontal="left" vertical="center" wrapText="1"/>
    </xf>
    <xf numFmtId="0" fontId="285" fillId="28" borderId="0" xfId="0" applyFont="1" applyFill="1" applyAlignment="1">
      <alignment horizontal="left" vertical="center" wrapText="1"/>
    </xf>
    <xf numFmtId="0" fontId="285" fillId="0" borderId="7" xfId="0" applyFont="1" applyBorder="1" applyAlignment="1">
      <alignment horizontal="left" vertical="center" wrapText="1"/>
    </xf>
    <xf numFmtId="0" fontId="0" fillId="26" borderId="40" xfId="0" applyFill="1" applyBorder="1" applyAlignment="1">
      <alignment horizontal="center"/>
    </xf>
    <xf numFmtId="0" fontId="26" fillId="0" borderId="35" xfId="0" applyFont="1" applyBorder="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10" fillId="0" borderId="0" xfId="0" applyFont="1" applyAlignment="1">
      <alignment horizontal="center" vertical="center"/>
    </xf>
    <xf numFmtId="0" fontId="26" fillId="0" borderId="37" xfId="0" applyFont="1" applyBorder="1" applyAlignment="1">
      <alignment horizontal="center" vertical="center"/>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0" fontId="28" fillId="26" borderId="0" xfId="0" applyFont="1" applyFill="1" applyAlignment="1">
      <alignment horizontal="center" vertical="center" wrapText="1"/>
    </xf>
    <xf numFmtId="0" fontId="10" fillId="26" borderId="0" xfId="0" applyFont="1" applyFill="1" applyAlignment="1">
      <alignment horizontal="center" wrapText="1"/>
    </xf>
    <xf numFmtId="0" fontId="10" fillId="0" borderId="7" xfId="0" applyFont="1" applyBorder="1" applyAlignment="1">
      <alignment horizontal="center" wrapText="1"/>
    </xf>
    <xf numFmtId="168" fontId="0" fillId="0" borderId="261" xfId="1" applyNumberFormat="1" applyFont="1" applyBorder="1"/>
    <xf numFmtId="168" fontId="0" fillId="26" borderId="261" xfId="1" applyNumberFormat="1" applyFont="1" applyFill="1" applyBorder="1"/>
    <xf numFmtId="168" fontId="0" fillId="0" borderId="419" xfId="1" applyNumberFormat="1" applyFont="1" applyBorder="1"/>
    <xf numFmtId="168" fontId="0" fillId="0" borderId="0" xfId="0" applyNumberFormat="1"/>
    <xf numFmtId="168" fontId="0" fillId="26" borderId="0" xfId="0" applyNumberFormat="1" applyFill="1"/>
    <xf numFmtId="168" fontId="0" fillId="0" borderId="7" xfId="0" applyNumberFormat="1" applyBorder="1"/>
    <xf numFmtId="168" fontId="0" fillId="0" borderId="33" xfId="0" applyNumberFormat="1" applyBorder="1"/>
    <xf numFmtId="168" fontId="12" fillId="0" borderId="33" xfId="0" applyNumberFormat="1" applyFont="1" applyBorder="1"/>
    <xf numFmtId="168" fontId="12" fillId="26" borderId="33" xfId="0" applyNumberFormat="1" applyFont="1" applyFill="1" applyBorder="1"/>
    <xf numFmtId="168" fontId="0" fillId="0" borderId="9" xfId="0" applyNumberFormat="1" applyBorder="1"/>
    <xf numFmtId="0" fontId="10" fillId="26" borderId="0" xfId="0" applyFont="1" applyFill="1" applyAlignment="1">
      <alignment horizontal="center" vertical="center" wrapText="1"/>
    </xf>
    <xf numFmtId="0" fontId="10" fillId="28" borderId="0" xfId="0" applyFont="1" applyFill="1" applyAlignment="1">
      <alignment horizontal="center" vertical="center" wrapText="1"/>
    </xf>
    <xf numFmtId="0" fontId="28" fillId="28" borderId="0" xfId="0" applyFont="1" applyFill="1" applyAlignment="1">
      <alignment horizontal="center" vertical="center" wrapText="1"/>
    </xf>
    <xf numFmtId="168" fontId="288" fillId="132" borderId="0" xfId="1" applyNumberFormat="1" applyFont="1" applyFill="1" applyBorder="1" applyAlignment="1">
      <alignment vertical="center"/>
    </xf>
    <xf numFmtId="168" fontId="288"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168" fontId="288" fillId="28" borderId="0" xfId="1" applyNumberFormat="1" applyFont="1" applyFill="1" applyBorder="1" applyAlignment="1">
      <alignment vertical="center"/>
    </xf>
    <xf numFmtId="168" fontId="138" fillId="28" borderId="0" xfId="1" applyNumberFormat="1" applyFont="1" applyFill="1" applyBorder="1" applyAlignment="1">
      <alignment vertical="center"/>
    </xf>
    <xf numFmtId="3" fontId="28" fillId="0" borderId="0" xfId="0" applyNumberFormat="1" applyFont="1"/>
    <xf numFmtId="3" fontId="28" fillId="26" borderId="0" xfId="0" applyNumberFormat="1" applyFont="1" applyFill="1"/>
    <xf numFmtId="3" fontId="26" fillId="26" borderId="0" xfId="0" applyNumberFormat="1" applyFont="1" applyFill="1"/>
    <xf numFmtId="3" fontId="28" fillId="28" borderId="0" xfId="0" applyNumberFormat="1" applyFont="1" applyFill="1"/>
    <xf numFmtId="3" fontId="26" fillId="28" borderId="0" xfId="0" applyNumberFormat="1" applyFont="1" applyFill="1"/>
    <xf numFmtId="0" fontId="285" fillId="0" borderId="0" xfId="0" applyFont="1" applyAlignment="1">
      <alignment horizontal="center" vertical="center"/>
    </xf>
    <xf numFmtId="3" fontId="285" fillId="0" borderId="0" xfId="0" applyNumberFormat="1" applyFont="1" applyAlignment="1">
      <alignment horizontal="center" vertical="center"/>
    </xf>
    <xf numFmtId="0" fontId="285" fillId="26" borderId="0" xfId="0" applyFont="1" applyFill="1" applyAlignment="1">
      <alignment horizontal="center" vertical="center"/>
    </xf>
    <xf numFmtId="3" fontId="285" fillId="26" borderId="0" xfId="0" applyNumberFormat="1" applyFont="1" applyFill="1" applyAlignment="1">
      <alignment horizontal="center" vertical="center"/>
    </xf>
    <xf numFmtId="0" fontId="285" fillId="28" borderId="0" xfId="0" applyFont="1" applyFill="1" applyAlignment="1">
      <alignment horizontal="center" vertical="center"/>
    </xf>
    <xf numFmtId="3" fontId="285" fillId="28" borderId="0" xfId="0" applyNumberFormat="1" applyFont="1" applyFill="1" applyAlignment="1">
      <alignment horizontal="center" vertical="center"/>
    </xf>
    <xf numFmtId="0" fontId="286" fillId="0" borderId="37" xfId="0" applyFont="1" applyBorder="1" applyAlignment="1">
      <alignment vertical="center"/>
    </xf>
    <xf numFmtId="9" fontId="286" fillId="0" borderId="0" xfId="2" applyFont="1" applyBorder="1" applyAlignment="1">
      <alignment horizontal="right" vertical="center"/>
    </xf>
    <xf numFmtId="9" fontId="286" fillId="26" borderId="0" xfId="2" applyFont="1" applyFill="1" applyBorder="1" applyAlignment="1">
      <alignment horizontal="right" vertical="center"/>
    </xf>
    <xf numFmtId="9" fontId="286" fillId="28" borderId="0" xfId="2" applyFont="1" applyFill="1" applyBorder="1" applyAlignment="1">
      <alignment horizontal="right" vertical="center"/>
    </xf>
    <xf numFmtId="9" fontId="20" fillId="0" borderId="7" xfId="2" applyFont="1" applyBorder="1"/>
    <xf numFmtId="0" fontId="20" fillId="0" borderId="37" xfId="0" applyFont="1" applyBorder="1" applyAlignment="1">
      <alignment horizontal="right"/>
    </xf>
    <xf numFmtId="9" fontId="20" fillId="0" borderId="0" xfId="2" applyFont="1" applyBorder="1" applyAlignment="1">
      <alignment horizontal="center"/>
    </xf>
    <xf numFmtId="0" fontId="20" fillId="26" borderId="0" xfId="0" applyFont="1" applyFill="1" applyAlignment="1">
      <alignment horizontal="center"/>
    </xf>
    <xf numFmtId="9" fontId="20" fillId="26" borderId="0" xfId="2" applyFont="1" applyFill="1" applyBorder="1" applyAlignment="1">
      <alignment horizontal="center"/>
    </xf>
    <xf numFmtId="0" fontId="20" fillId="28" borderId="0" xfId="0" applyFont="1" applyFill="1" applyAlignment="1">
      <alignment horizontal="center"/>
    </xf>
    <xf numFmtId="9" fontId="20" fillId="28" borderId="0" xfId="2" applyFont="1" applyFill="1" applyBorder="1" applyAlignment="1">
      <alignment horizontal="center"/>
    </xf>
    <xf numFmtId="9" fontId="20" fillId="0" borderId="0" xfId="2" applyFont="1" applyBorder="1"/>
    <xf numFmtId="0" fontId="283" fillId="0" borderId="7" xfId="0" applyFont="1" applyBorder="1" applyAlignment="1">
      <alignment horizontal="center" vertical="center" wrapText="1"/>
    </xf>
    <xf numFmtId="9" fontId="138" fillId="0" borderId="0" xfId="2" applyFont="1" applyBorder="1" applyAlignment="1">
      <alignment horizontal="right" vertical="center"/>
    </xf>
    <xf numFmtId="9" fontId="138" fillId="26" borderId="0" xfId="2" applyFont="1" applyFill="1" applyBorder="1" applyAlignment="1">
      <alignment horizontal="right" vertical="center"/>
    </xf>
    <xf numFmtId="9" fontId="138" fillId="28" borderId="0" xfId="2" applyFont="1" applyFill="1" applyBorder="1" applyAlignment="1">
      <alignment horizontal="right" vertical="center"/>
    </xf>
    <xf numFmtId="0" fontId="286" fillId="26" borderId="37" xfId="0" applyFont="1" applyFill="1" applyBorder="1" applyAlignment="1">
      <alignment horizontal="right" vertical="center"/>
    </xf>
    <xf numFmtId="3" fontId="148" fillId="0" borderId="0" xfId="0" applyNumberFormat="1" applyFont="1" applyAlignment="1">
      <alignment horizontal="right" vertical="center"/>
    </xf>
    <xf numFmtId="9" fontId="148" fillId="26" borderId="0" xfId="2" applyFont="1" applyFill="1" applyBorder="1" applyAlignment="1">
      <alignment horizontal="right" vertical="center"/>
    </xf>
    <xf numFmtId="9" fontId="148" fillId="28" borderId="0" xfId="2" applyFont="1" applyFill="1" applyBorder="1" applyAlignment="1">
      <alignment horizontal="right" vertical="center"/>
    </xf>
    <xf numFmtId="3" fontId="148" fillId="26" borderId="0" xfId="0" applyNumberFormat="1" applyFont="1" applyFill="1" applyAlignment="1">
      <alignment horizontal="right" vertical="center"/>
    </xf>
    <xf numFmtId="3" fontId="148" fillId="28" borderId="0" xfId="0" applyNumberFormat="1" applyFont="1" applyFill="1" applyAlignment="1">
      <alignment horizontal="right" vertical="center"/>
    </xf>
    <xf numFmtId="0" fontId="12" fillId="0" borderId="7" xfId="0" applyFont="1" applyBorder="1"/>
    <xf numFmtId="168" fontId="12" fillId="0" borderId="7" xfId="1" applyNumberFormat="1" applyFont="1" applyBorder="1"/>
    <xf numFmtId="0" fontId="20" fillId="0" borderId="40" xfId="0" applyFont="1" applyBorder="1"/>
    <xf numFmtId="0" fontId="20" fillId="0" borderId="33" xfId="0" applyFont="1" applyBorder="1"/>
    <xf numFmtId="0" fontId="20" fillId="0" borderId="9" xfId="0" applyFont="1" applyBorder="1"/>
    <xf numFmtId="0" fontId="20" fillId="0" borderId="40" xfId="0" applyFont="1" applyBorder="1" applyAlignment="1">
      <alignment horizontal="right"/>
    </xf>
    <xf numFmtId="9" fontId="20" fillId="0" borderId="33" xfId="2" applyFont="1" applyBorder="1"/>
    <xf numFmtId="0" fontId="157" fillId="3" borderId="0" xfId="0" applyFont="1" applyFill="1" applyAlignment="1">
      <alignment horizontal="center" vertical="center"/>
    </xf>
    <xf numFmtId="0" fontId="26" fillId="15" borderId="0" xfId="0" applyFont="1" applyFill="1" applyAlignment="1">
      <alignment horizontal="center"/>
    </xf>
    <xf numFmtId="0" fontId="0" fillId="15" borderId="0" xfId="0" applyFill="1" applyAlignment="1">
      <alignment horizontal="center"/>
    </xf>
    <xf numFmtId="0" fontId="0" fillId="26" borderId="0" xfId="0" applyFill="1" applyAlignment="1">
      <alignment horizontal="center"/>
    </xf>
    <xf numFmtId="0" fontId="26" fillId="26" borderId="0" xfId="0" applyFont="1" applyFill="1" applyAlignment="1">
      <alignment horizontal="center"/>
    </xf>
    <xf numFmtId="0" fontId="0" fillId="28" borderId="0" xfId="0" applyFill="1" applyAlignment="1">
      <alignment horizontal="center"/>
    </xf>
    <xf numFmtId="0" fontId="26" fillId="28" borderId="0" xfId="0" applyFont="1" applyFill="1" applyAlignment="1">
      <alignment horizontal="center"/>
    </xf>
    <xf numFmtId="0" fontId="26" fillId="0" borderId="7" xfId="0" applyFont="1" applyBorder="1" applyAlignment="1">
      <alignment horizontal="center"/>
    </xf>
    <xf numFmtId="168" fontId="0" fillId="15" borderId="0" xfId="1" applyNumberFormat="1" applyFont="1" applyFill="1" applyBorder="1"/>
    <xf numFmtId="168" fontId="0" fillId="0" borderId="7" xfId="1" applyNumberFormat="1" applyFont="1" applyFill="1" applyBorder="1"/>
    <xf numFmtId="168" fontId="0" fillId="0" borderId="0" xfId="1" applyNumberFormat="1" applyFont="1" applyFill="1" applyBorder="1" applyAlignment="1">
      <alignment vertical="center"/>
    </xf>
    <xf numFmtId="0" fontId="0" fillId="15" borderId="0" xfId="0" applyFill="1"/>
    <xf numFmtId="9" fontId="0" fillId="15" borderId="0" xfId="2" applyFont="1" applyFill="1" applyBorder="1"/>
    <xf numFmtId="0" fontId="283" fillId="0" borderId="0" xfId="0" applyFont="1" applyAlignment="1">
      <alignment horizontal="center" vertical="center" wrapText="1"/>
    </xf>
    <xf numFmtId="0" fontId="283" fillId="28" borderId="0" xfId="0" applyFont="1" applyFill="1" applyAlignment="1">
      <alignment horizontal="center" vertical="center" wrapText="1"/>
    </xf>
    <xf numFmtId="0" fontId="282" fillId="0" borderId="0" xfId="0" applyFont="1" applyAlignment="1">
      <alignment horizontal="left" vertical="center"/>
    </xf>
    <xf numFmtId="0" fontId="157" fillId="27" borderId="37" xfId="0" applyFont="1" applyFill="1" applyBorder="1" applyAlignment="1">
      <alignment vertical="center"/>
    </xf>
    <xf numFmtId="3" fontId="157" fillId="27" borderId="0" xfId="0" applyNumberFormat="1" applyFont="1" applyFill="1" applyAlignment="1">
      <alignment horizontal="right" vertical="center"/>
    </xf>
    <xf numFmtId="3" fontId="138" fillId="27" borderId="0" xfId="0" applyNumberFormat="1" applyFont="1" applyFill="1" applyAlignment="1">
      <alignment horizontal="right" vertical="center"/>
    </xf>
    <xf numFmtId="1" fontId="0" fillId="27" borderId="0" xfId="0" applyNumberFormat="1" applyFill="1" applyAlignment="1">
      <alignment horizontal="center" vertical="center"/>
    </xf>
    <xf numFmtId="1" fontId="0" fillId="27" borderId="7" xfId="0" applyNumberFormat="1" applyFill="1" applyBorder="1" applyAlignment="1">
      <alignment horizontal="center" vertical="center"/>
    </xf>
    <xf numFmtId="0" fontId="157" fillId="14" borderId="37" xfId="0" applyFont="1" applyFill="1" applyBorder="1" applyAlignment="1">
      <alignment vertical="center"/>
    </xf>
    <xf numFmtId="3" fontId="157" fillId="14" borderId="0" xfId="0" applyNumberFormat="1" applyFont="1" applyFill="1" applyAlignment="1">
      <alignment horizontal="right" vertical="center"/>
    </xf>
    <xf numFmtId="3" fontId="138" fillId="14" borderId="0" xfId="0" applyNumberFormat="1" applyFont="1" applyFill="1" applyAlignment="1">
      <alignment horizontal="right" vertical="center"/>
    </xf>
    <xf numFmtId="1" fontId="0" fillId="14" borderId="0" xfId="0" applyNumberFormat="1" applyFill="1" applyAlignment="1">
      <alignment horizontal="center" vertical="center"/>
    </xf>
    <xf numFmtId="0" fontId="0" fillId="14" borderId="0" xfId="0" applyFill="1" applyAlignment="1">
      <alignment horizontal="center" vertical="center"/>
    </xf>
    <xf numFmtId="0" fontId="0" fillId="14" borderId="7" xfId="0" applyFill="1" applyBorder="1" applyAlignment="1">
      <alignment horizontal="center" vertical="center"/>
    </xf>
    <xf numFmtId="0" fontId="104" fillId="0" borderId="0" xfId="0" applyFont="1"/>
    <xf numFmtId="0" fontId="285" fillId="0" borderId="0" xfId="0" applyFont="1" applyAlignment="1">
      <alignment horizontal="left" vertical="center"/>
    </xf>
    <xf numFmtId="0" fontId="26" fillId="12" borderId="0" xfId="0" applyFont="1" applyFill="1" applyAlignment="1">
      <alignment horizontal="center"/>
    </xf>
    <xf numFmtId="3" fontId="138" fillId="12" borderId="0" xfId="0" applyNumberFormat="1" applyFont="1" applyFill="1" applyAlignment="1">
      <alignment horizontal="right" vertical="center"/>
    </xf>
    <xf numFmtId="3" fontId="0" fillId="26" borderId="0" xfId="0" applyNumberFormat="1" applyFill="1"/>
    <xf numFmtId="3" fontId="0" fillId="28" borderId="0" xfId="0" applyNumberFormat="1" applyFill="1"/>
    <xf numFmtId="9" fontId="138" fillId="0" borderId="0" xfId="2" applyFont="1" applyFill="1" applyBorder="1" applyAlignment="1">
      <alignment horizontal="right" vertical="center"/>
    </xf>
    <xf numFmtId="9" fontId="26" fillId="26" borderId="0" xfId="2" applyFont="1" applyFill="1" applyBorder="1"/>
    <xf numFmtId="168" fontId="285" fillId="0" borderId="0" xfId="1" applyNumberFormat="1" applyFont="1" applyBorder="1" applyAlignment="1">
      <alignment vertical="center" wrapText="1"/>
    </xf>
    <xf numFmtId="168" fontId="285" fillId="28" borderId="0" xfId="1" applyNumberFormat="1" applyFont="1" applyFill="1" applyBorder="1" applyAlignment="1">
      <alignment vertical="center" wrapText="1"/>
    </xf>
    <xf numFmtId="3" fontId="157" fillId="26" borderId="0" xfId="0" applyNumberFormat="1" applyFont="1" applyFill="1" applyAlignment="1">
      <alignment horizontal="right" vertical="center"/>
    </xf>
    <xf numFmtId="0" fontId="104" fillId="0" borderId="0" xfId="0" applyFont="1" applyAlignment="1">
      <alignment vertical="top" wrapText="1"/>
    </xf>
    <xf numFmtId="0" fontId="104" fillId="26" borderId="0" xfId="0" applyFont="1" applyFill="1" applyAlignment="1">
      <alignment horizontal="center" vertical="center" wrapText="1"/>
    </xf>
    <xf numFmtId="0" fontId="104" fillId="28" borderId="0" xfId="0" applyFont="1" applyFill="1" applyAlignment="1">
      <alignment horizontal="center" vertical="center" wrapText="1"/>
    </xf>
    <xf numFmtId="166" fontId="10" fillId="0" borderId="0" xfId="1" applyFont="1"/>
    <xf numFmtId="43" fontId="10" fillId="0" borderId="0" xfId="0" applyNumberFormat="1" applyFont="1"/>
    <xf numFmtId="168" fontId="0" fillId="28" borderId="0" xfId="0" applyNumberFormat="1" applyFill="1"/>
    <xf numFmtId="9" fontId="26" fillId="0" borderId="0" xfId="2" applyFont="1" applyFill="1" applyBorder="1"/>
    <xf numFmtId="168" fontId="285" fillId="0" borderId="0" xfId="1" applyNumberFormat="1" applyFont="1" applyFill="1" applyBorder="1" applyAlignment="1">
      <alignment vertical="center" wrapText="1"/>
    </xf>
    <xf numFmtId="0" fontId="153" fillId="0" borderId="41" xfId="0" applyFont="1" applyBorder="1" applyAlignment="1">
      <alignment horizontal="center" vertical="center" wrapText="1"/>
    </xf>
    <xf numFmtId="168" fontId="289" fillId="27" borderId="41" xfId="1" applyNumberFormat="1" applyFont="1" applyFill="1" applyBorder="1" applyAlignment="1">
      <alignment vertical="center" wrapText="1"/>
    </xf>
    <xf numFmtId="168" fontId="289" fillId="27" borderId="8" xfId="1" applyNumberFormat="1" applyFont="1" applyFill="1" applyBorder="1" applyAlignment="1">
      <alignment vertical="center" wrapText="1"/>
    </xf>
    <xf numFmtId="168" fontId="289" fillId="71" borderId="41" xfId="1" applyNumberFormat="1" applyFont="1" applyFill="1" applyBorder="1" applyAlignment="1">
      <alignment vertical="center" wrapText="1"/>
    </xf>
    <xf numFmtId="168" fontId="289" fillId="71" borderId="6" xfId="1" applyNumberFormat="1" applyFont="1" applyFill="1" applyBorder="1" applyAlignment="1">
      <alignment vertical="center" wrapText="1"/>
    </xf>
    <xf numFmtId="168" fontId="289" fillId="70" borderId="41" xfId="1" applyNumberFormat="1" applyFont="1" applyFill="1" applyBorder="1" applyAlignment="1">
      <alignment vertical="center" wrapText="1"/>
    </xf>
    <xf numFmtId="168" fontId="289" fillId="70" borderId="70" xfId="1" applyNumberFormat="1" applyFont="1" applyFill="1" applyBorder="1" applyAlignment="1">
      <alignment vertical="center" wrapText="1"/>
    </xf>
    <xf numFmtId="168" fontId="289" fillId="70" borderId="6" xfId="1" applyNumberFormat="1" applyFont="1" applyFill="1" applyBorder="1" applyAlignment="1">
      <alignment vertical="center" wrapText="1"/>
    </xf>
    <xf numFmtId="168" fontId="289" fillId="26" borderId="41" xfId="1" applyNumberFormat="1" applyFont="1" applyFill="1" applyBorder="1" applyAlignment="1">
      <alignment vertical="center" wrapText="1"/>
    </xf>
    <xf numFmtId="168" fontId="289" fillId="26" borderId="70" xfId="1" applyNumberFormat="1" applyFont="1" applyFill="1" applyBorder="1" applyAlignment="1">
      <alignment vertical="center" wrapText="1"/>
    </xf>
    <xf numFmtId="168" fontId="289" fillId="26" borderId="8" xfId="1" applyNumberFormat="1" applyFont="1" applyFill="1" applyBorder="1" applyAlignment="1">
      <alignment vertical="center" wrapText="1"/>
    </xf>
    <xf numFmtId="168" fontId="289" fillId="28" borderId="41" xfId="1" applyNumberFormat="1" applyFont="1" applyFill="1" applyBorder="1" applyAlignment="1">
      <alignment vertical="center" wrapText="1"/>
    </xf>
    <xf numFmtId="168" fontId="289" fillId="28" borderId="70" xfId="1" applyNumberFormat="1" applyFont="1" applyFill="1" applyBorder="1" applyAlignment="1">
      <alignment vertical="center" wrapText="1"/>
    </xf>
    <xf numFmtId="168" fontId="289" fillId="28" borderId="8" xfId="1" applyNumberFormat="1" applyFont="1" applyFill="1" applyBorder="1" applyAlignment="1">
      <alignment vertical="center" wrapText="1"/>
    </xf>
    <xf numFmtId="0" fontId="289" fillId="0" borderId="0" xfId="0" applyFont="1" applyAlignment="1">
      <alignment vertical="center" wrapText="1"/>
    </xf>
    <xf numFmtId="9" fontId="289" fillId="26" borderId="42" xfId="2" applyFont="1" applyFill="1" applyBorder="1" applyAlignment="1">
      <alignment vertical="center" wrapText="1"/>
    </xf>
    <xf numFmtId="9" fontId="289" fillId="26" borderId="47" xfId="2" applyFont="1" applyFill="1" applyBorder="1" applyAlignment="1">
      <alignment vertical="center" wrapText="1"/>
    </xf>
    <xf numFmtId="9" fontId="289" fillId="26" borderId="13" xfId="2" applyFont="1" applyFill="1" applyBorder="1" applyAlignment="1">
      <alignment vertical="center" wrapText="1"/>
    </xf>
    <xf numFmtId="168" fontId="289" fillId="27" borderId="24" xfId="0" applyNumberFormat="1" applyFont="1" applyFill="1" applyBorder="1" applyAlignment="1">
      <alignment vertical="center" wrapText="1"/>
    </xf>
    <xf numFmtId="168" fontId="289" fillId="71" borderId="24" xfId="0" applyNumberFormat="1" applyFont="1" applyFill="1" applyBorder="1" applyAlignment="1">
      <alignment vertical="center" wrapText="1"/>
    </xf>
    <xf numFmtId="168" fontId="289" fillId="70" borderId="24" xfId="0" applyNumberFormat="1" applyFont="1" applyFill="1" applyBorder="1" applyAlignment="1">
      <alignment vertical="center" wrapText="1"/>
    </xf>
    <xf numFmtId="168" fontId="289" fillId="26" borderId="24" xfId="0" applyNumberFormat="1" applyFont="1" applyFill="1" applyBorder="1" applyAlignment="1">
      <alignment vertical="center" wrapText="1"/>
    </xf>
    <xf numFmtId="168" fontId="289" fillId="28" borderId="24" xfId="0" applyNumberFormat="1" applyFont="1" applyFill="1" applyBorder="1" applyAlignment="1">
      <alignment vertical="center" wrapText="1"/>
    </xf>
    <xf numFmtId="0" fontId="108" fillId="0" borderId="0" xfId="0" applyFont="1"/>
    <xf numFmtId="168" fontId="289" fillId="27" borderId="13" xfId="0" applyNumberFormat="1" applyFont="1" applyFill="1" applyBorder="1" applyAlignment="1">
      <alignment vertical="center" wrapText="1"/>
    </xf>
    <xf numFmtId="168" fontId="289" fillId="71" borderId="13" xfId="0" applyNumberFormat="1" applyFont="1" applyFill="1" applyBorder="1" applyAlignment="1">
      <alignment vertical="center" wrapText="1"/>
    </xf>
    <xf numFmtId="168" fontId="289" fillId="70" borderId="13" xfId="0" applyNumberFormat="1" applyFont="1" applyFill="1" applyBorder="1" applyAlignment="1">
      <alignment vertical="center" wrapText="1"/>
    </xf>
    <xf numFmtId="168" fontId="289" fillId="26" borderId="13" xfId="0" applyNumberFormat="1" applyFont="1" applyFill="1" applyBorder="1" applyAlignment="1">
      <alignment vertical="center" wrapText="1"/>
    </xf>
    <xf numFmtId="168" fontId="289" fillId="28" borderId="13" xfId="0" applyNumberFormat="1" applyFont="1" applyFill="1" applyBorder="1" applyAlignment="1">
      <alignment vertical="center" wrapText="1"/>
    </xf>
    <xf numFmtId="0" fontId="73" fillId="0" borderId="0" xfId="0" applyFont="1"/>
    <xf numFmtId="3" fontId="290" fillId="16" borderId="35" xfId="0" applyNumberFormat="1" applyFont="1" applyFill="1" applyBorder="1" applyAlignment="1">
      <alignment horizontal="center" vertical="center" wrapText="1"/>
    </xf>
    <xf numFmtId="168" fontId="106" fillId="0" borderId="30" xfId="1" applyNumberFormat="1" applyFont="1" applyFill="1" applyBorder="1" applyAlignment="1">
      <alignment horizontal="center" vertical="center"/>
    </xf>
    <xf numFmtId="3" fontId="12" fillId="0" borderId="37" xfId="0" applyNumberFormat="1" applyFont="1" applyBorder="1"/>
    <xf numFmtId="167" fontId="106" fillId="0" borderId="40" xfId="2" applyNumberFormat="1" applyFont="1" applyFill="1" applyBorder="1" applyAlignment="1">
      <alignment horizontal="center" vertical="center"/>
    </xf>
    <xf numFmtId="167" fontId="106" fillId="0" borderId="9" xfId="2" applyNumberFormat="1" applyFont="1" applyFill="1" applyBorder="1" applyAlignment="1">
      <alignment horizontal="center" vertical="center"/>
    </xf>
    <xf numFmtId="166" fontId="126" fillId="0" borderId="37" xfId="0" applyNumberFormat="1" applyFont="1" applyBorder="1"/>
    <xf numFmtId="9" fontId="159" fillId="31" borderId="11" xfId="2" applyFont="1" applyFill="1" applyBorder="1" applyAlignment="1">
      <alignment vertical="center"/>
    </xf>
    <xf numFmtId="9" fontId="11" fillId="31" borderId="11" xfId="2" applyFont="1" applyFill="1" applyBorder="1" applyAlignment="1">
      <alignment vertical="center" wrapText="1"/>
    </xf>
    <xf numFmtId="171" fontId="63" fillId="3" borderId="42" xfId="0" applyNumberFormat="1" applyFont="1" applyFill="1" applyBorder="1" applyAlignment="1">
      <alignment horizontal="center"/>
    </xf>
    <xf numFmtId="10" fontId="13" fillId="13" borderId="0" xfId="0" applyNumberFormat="1" applyFont="1" applyFill="1" applyBorder="1"/>
    <xf numFmtId="0" fontId="291" fillId="0" borderId="0" xfId="7" applyFont="1"/>
    <xf numFmtId="0" fontId="291" fillId="0" borderId="0" xfId="7" applyFont="1" applyAlignment="1">
      <alignment horizontal="center"/>
    </xf>
    <xf numFmtId="3" fontId="291" fillId="0" borderId="0" xfId="7" applyNumberFormat="1" applyFont="1"/>
    <xf numFmtId="0" fontId="291" fillId="0" borderId="0" xfId="7" applyFont="1" applyFill="1"/>
    <xf numFmtId="0" fontId="291" fillId="0" borderId="0" xfId="7" applyFont="1" applyAlignment="1">
      <alignment horizontal="center" vertical="center"/>
    </xf>
    <xf numFmtId="0" fontId="292" fillId="0" borderId="0" xfId="7" applyFont="1" applyAlignment="1">
      <alignment horizontal="center" vertical="center" wrapText="1"/>
    </xf>
    <xf numFmtId="10" fontId="291" fillId="13" borderId="0" xfId="2" applyNumberFormat="1" applyFont="1" applyFill="1" applyAlignment="1">
      <alignment horizontal="center" vertical="center"/>
    </xf>
    <xf numFmtId="10" fontId="291" fillId="0" borderId="0" xfId="2" applyNumberFormat="1" applyFont="1" applyAlignment="1">
      <alignment horizontal="center" vertical="center"/>
    </xf>
    <xf numFmtId="0" fontId="291" fillId="0" borderId="0" xfId="7" applyFont="1" applyFill="1" applyAlignment="1">
      <alignment horizontal="center" vertical="center"/>
    </xf>
    <xf numFmtId="0" fontId="291" fillId="0" borderId="0" xfId="7" applyFont="1" applyFill="1" applyAlignment="1">
      <alignment horizontal="center"/>
    </xf>
    <xf numFmtId="0" fontId="293" fillId="0" borderId="0" xfId="7" applyFont="1" applyAlignment="1">
      <alignment horizontal="center"/>
    </xf>
    <xf numFmtId="0" fontId="293" fillId="0" borderId="0" xfId="7" applyFont="1" applyFill="1" applyAlignment="1">
      <alignment horizontal="center"/>
    </xf>
    <xf numFmtId="167" fontId="51" fillId="38" borderId="0" xfId="15" applyNumberFormat="1" applyFont="1" applyFill="1" applyAlignment="1">
      <alignment horizontal="center"/>
    </xf>
    <xf numFmtId="167" fontId="293" fillId="29" borderId="0" xfId="15" applyNumberFormat="1" applyFont="1" applyFill="1" applyAlignment="1">
      <alignment horizontal="center"/>
    </xf>
    <xf numFmtId="0" fontId="13" fillId="104" borderId="0" xfId="0" applyFont="1" applyFill="1" applyBorder="1" applyAlignment="1">
      <alignment horizontal="left"/>
    </xf>
    <xf numFmtId="167" fontId="13" fillId="104" borderId="0" xfId="0" applyNumberFormat="1" applyFont="1" applyFill="1"/>
    <xf numFmtId="0" fontId="13" fillId="104" borderId="0" xfId="0" applyFont="1" applyFill="1"/>
    <xf numFmtId="3" fontId="97" fillId="0" borderId="6" xfId="67" applyNumberFormat="1" applyFont="1" applyFill="1" applyBorder="1" applyAlignment="1">
      <alignment horizontal="right"/>
    </xf>
    <xf numFmtId="166" fontId="139" fillId="14" borderId="42" xfId="1" applyFont="1" applyFill="1" applyBorder="1" applyAlignment="1">
      <alignment horizontal="right"/>
    </xf>
    <xf numFmtId="0" fontId="0" fillId="0" borderId="0" xfId="0"/>
    <xf numFmtId="0" fontId="267" fillId="16" borderId="421" xfId="0" applyFont="1" applyFill="1" applyBorder="1" applyAlignment="1">
      <alignment horizontal="left" vertical="center" wrapText="1"/>
    </xf>
    <xf numFmtId="0" fontId="295" fillId="38" borderId="421" xfId="0" applyFont="1" applyFill="1" applyBorder="1" applyAlignment="1">
      <alignment horizontal="right" vertical="center" wrapText="1"/>
    </xf>
    <xf numFmtId="0" fontId="295" fillId="134" borderId="421" xfId="0" applyFont="1" applyFill="1" applyBorder="1" applyAlignment="1">
      <alignment horizontal="right" vertical="center" wrapText="1"/>
    </xf>
    <xf numFmtId="0" fontId="30" fillId="135" borderId="393" xfId="0" applyFont="1" applyFill="1" applyBorder="1" applyAlignment="1">
      <alignment horizontal="center" vertical="center"/>
    </xf>
    <xf numFmtId="0" fontId="30" fillId="135" borderId="425" xfId="0" applyFont="1" applyFill="1" applyBorder="1" applyAlignment="1">
      <alignment horizontal="center" vertical="center"/>
    </xf>
    <xf numFmtId="0" fontId="30" fillId="135" borderId="426" xfId="0" applyFont="1" applyFill="1" applyBorder="1" applyAlignment="1">
      <alignment horizontal="center" vertical="center" wrapText="1"/>
    </xf>
    <xf numFmtId="0" fontId="30" fillId="135" borderId="52" xfId="0" applyFont="1" applyFill="1" applyBorder="1" applyAlignment="1">
      <alignment horizontal="center" vertical="center" wrapText="1"/>
    </xf>
    <xf numFmtId="168" fontId="61" fillId="16" borderId="35" xfId="1" applyNumberFormat="1" applyFont="1" applyFill="1" applyBorder="1" applyAlignment="1">
      <alignment horizontal="center" vertical="center"/>
    </xf>
    <xf numFmtId="168" fontId="61" fillId="16" borderId="6" xfId="1" applyNumberFormat="1" applyFont="1" applyFill="1" applyBorder="1" applyAlignment="1">
      <alignment horizontal="center" vertical="center"/>
    </xf>
    <xf numFmtId="168" fontId="61" fillId="16" borderId="30" xfId="1" applyNumberFormat="1" applyFont="1" applyFill="1" applyBorder="1" applyAlignment="1">
      <alignment horizontal="center" vertical="center"/>
    </xf>
    <xf numFmtId="168" fontId="61" fillId="4" borderId="5" xfId="1" applyNumberFormat="1" applyFont="1" applyFill="1" applyBorder="1" applyAlignment="1">
      <alignment horizontal="center" vertical="center"/>
    </xf>
    <xf numFmtId="168" fontId="61" fillId="4" borderId="83" xfId="1" applyNumberFormat="1" applyFont="1" applyFill="1" applyBorder="1" applyAlignment="1">
      <alignment horizontal="center" vertical="center"/>
    </xf>
    <xf numFmtId="168" fontId="61" fillId="4" borderId="30" xfId="1" applyNumberFormat="1" applyFont="1" applyFill="1" applyBorder="1" applyAlignment="1">
      <alignment horizontal="center" vertical="center"/>
    </xf>
    <xf numFmtId="168" fontId="268" fillId="0" borderId="29" xfId="1" applyNumberFormat="1" applyFont="1" applyFill="1" applyBorder="1" applyAlignment="1">
      <alignment horizontal="right" vertical="center"/>
    </xf>
    <xf numFmtId="168" fontId="268" fillId="0" borderId="41" xfId="1" applyNumberFormat="1" applyFont="1" applyFill="1" applyBorder="1" applyAlignment="1">
      <alignment horizontal="right" vertical="center"/>
    </xf>
    <xf numFmtId="168" fontId="268" fillId="0" borderId="30" xfId="1" applyNumberFormat="1" applyFont="1" applyFill="1" applyBorder="1" applyAlignment="1">
      <alignment horizontal="right" vertical="center"/>
    </xf>
    <xf numFmtId="168" fontId="268" fillId="0" borderId="5" xfId="1" applyNumberFormat="1" applyFont="1" applyFill="1" applyBorder="1" applyAlignment="1">
      <alignment horizontal="right" vertical="center"/>
    </xf>
    <xf numFmtId="168" fontId="268" fillId="0" borderId="11" xfId="1" applyNumberFormat="1" applyFont="1" applyFill="1" applyBorder="1" applyAlignment="1">
      <alignment horizontal="right" vertical="center"/>
    </xf>
    <xf numFmtId="0" fontId="295" fillId="0" borderId="0" xfId="0" applyFont="1" applyAlignment="1">
      <alignment vertical="center" wrapText="1"/>
    </xf>
    <xf numFmtId="0" fontId="267" fillId="0" borderId="0" xfId="0" applyFont="1" applyAlignment="1">
      <alignment vertical="center" wrapText="1"/>
    </xf>
    <xf numFmtId="0" fontId="267" fillId="0" borderId="421" xfId="0" applyFont="1" applyBorder="1" applyAlignment="1">
      <alignment horizontal="left" vertical="center" wrapText="1"/>
    </xf>
    <xf numFmtId="0" fontId="268" fillId="0" borderId="421" xfId="0" applyFont="1" applyBorder="1" applyAlignment="1">
      <alignment horizontal="left" vertical="center" wrapText="1"/>
    </xf>
    <xf numFmtId="0" fontId="268" fillId="0" borderId="421" xfId="0" applyFont="1" applyBorder="1" applyAlignment="1">
      <alignment vertical="center" wrapText="1"/>
    </xf>
    <xf numFmtId="0" fontId="295" fillId="134" borderId="0" xfId="0" applyFont="1" applyFill="1" applyAlignment="1">
      <alignment horizontal="right" vertical="center" wrapText="1"/>
    </xf>
    <xf numFmtId="168" fontId="294" fillId="0" borderId="421" xfId="1" applyNumberFormat="1" applyFont="1" applyBorder="1" applyAlignment="1">
      <alignment horizontal="center" vertical="center" wrapText="1"/>
    </xf>
    <xf numFmtId="168" fontId="294" fillId="0" borderId="421" xfId="1" applyNumberFormat="1" applyFont="1" applyFill="1" applyBorder="1" applyAlignment="1">
      <alignment horizontal="center" vertical="center" wrapText="1"/>
    </xf>
    <xf numFmtId="168" fontId="294" fillId="16" borderId="421" xfId="1" applyNumberFormat="1" applyFont="1" applyFill="1" applyBorder="1" applyAlignment="1">
      <alignment horizontal="center" vertical="center" wrapText="1"/>
    </xf>
    <xf numFmtId="168" fontId="299" fillId="38" borderId="421" xfId="1" applyNumberFormat="1" applyFont="1" applyFill="1" applyBorder="1" applyAlignment="1">
      <alignment horizontal="center" vertical="center" wrapText="1"/>
    </xf>
    <xf numFmtId="168" fontId="299" fillId="134" borderId="421" xfId="1" applyNumberFormat="1" applyFont="1" applyFill="1" applyBorder="1" applyAlignment="1">
      <alignment horizontal="center" vertical="center" wrapText="1"/>
    </xf>
    <xf numFmtId="168" fontId="299" fillId="134" borderId="423" xfId="1" applyNumberFormat="1" applyFont="1" applyFill="1" applyBorder="1" applyAlignment="1">
      <alignment vertical="center" wrapText="1"/>
    </xf>
    <xf numFmtId="168" fontId="299" fillId="134" borderId="424" xfId="1" applyNumberFormat="1" applyFont="1" applyFill="1" applyBorder="1" applyAlignment="1">
      <alignment vertical="center" wrapText="1"/>
    </xf>
    <xf numFmtId="168" fontId="299" fillId="134" borderId="421" xfId="1" applyNumberFormat="1" applyFont="1" applyFill="1" applyBorder="1" applyAlignment="1">
      <alignment vertical="center" wrapText="1"/>
    </xf>
    <xf numFmtId="168" fontId="294" fillId="0" borderId="0" xfId="1" applyNumberFormat="1" applyFont="1" applyAlignment="1">
      <alignment horizontal="center" vertical="center" wrapText="1"/>
    </xf>
    <xf numFmtId="168" fontId="297" fillId="127" borderId="421" xfId="1" applyNumberFormat="1" applyFont="1" applyFill="1" applyBorder="1" applyAlignment="1">
      <alignment horizontal="center" vertical="center" wrapText="1"/>
    </xf>
    <xf numFmtId="168" fontId="298" fillId="133" borderId="421" xfId="1" applyNumberFormat="1" applyFont="1" applyFill="1" applyBorder="1" applyAlignment="1">
      <alignment horizontal="center" vertical="center" wrapText="1"/>
    </xf>
    <xf numFmtId="168" fontId="298" fillId="128" borderId="421" xfId="1" applyNumberFormat="1" applyFont="1" applyFill="1" applyBorder="1" applyAlignment="1">
      <alignment horizontal="center" vertical="center" wrapText="1"/>
    </xf>
    <xf numFmtId="168" fontId="298" fillId="129" borderId="421" xfId="1" applyNumberFormat="1" applyFont="1" applyFill="1" applyBorder="1" applyAlignment="1">
      <alignment horizontal="center" vertical="center" wrapText="1"/>
    </xf>
    <xf numFmtId="168" fontId="299" fillId="115" borderId="421" xfId="1" applyNumberFormat="1" applyFont="1" applyFill="1" applyBorder="1" applyAlignment="1">
      <alignment horizontal="center" vertical="center" wrapText="1"/>
    </xf>
    <xf numFmtId="168" fontId="298" fillId="38" borderId="421" xfId="1" applyNumberFormat="1" applyFont="1" applyFill="1" applyBorder="1" applyAlignment="1">
      <alignment horizontal="center" vertical="center" wrapText="1"/>
    </xf>
    <xf numFmtId="168" fontId="299" fillId="134" borderId="0" xfId="1" applyNumberFormat="1" applyFont="1" applyFill="1" applyAlignment="1">
      <alignment horizontal="center" vertical="center" wrapText="1"/>
    </xf>
    <xf numFmtId="168" fontId="299" fillId="134" borderId="0" xfId="1" applyNumberFormat="1" applyFont="1" applyFill="1" applyBorder="1" applyAlignment="1">
      <alignment horizontal="center" vertical="center" wrapText="1"/>
    </xf>
    <xf numFmtId="168" fontId="265" fillId="127" borderId="11" xfId="1" applyNumberFormat="1" applyFont="1" applyFill="1" applyBorder="1" applyAlignment="1">
      <alignment vertical="center" wrapText="1"/>
    </xf>
    <xf numFmtId="168" fontId="8" fillId="34" borderId="11" xfId="1" applyNumberFormat="1" applyFont="1" applyFill="1" applyBorder="1" applyAlignment="1">
      <alignment vertical="center" wrapText="1"/>
    </xf>
    <xf numFmtId="168" fontId="91" fillId="128" borderId="11" xfId="1" applyNumberFormat="1" applyFont="1" applyFill="1" applyBorder="1" applyAlignment="1">
      <alignment vertical="center" wrapText="1"/>
    </xf>
    <xf numFmtId="168" fontId="8" fillId="129" borderId="11" xfId="1" applyNumberFormat="1" applyFont="1" applyFill="1" applyBorder="1" applyAlignment="1">
      <alignment vertical="center" wrapText="1"/>
    </xf>
    <xf numFmtId="168" fontId="26" fillId="115" borderId="49" xfId="1" applyNumberFormat="1" applyFont="1" applyFill="1" applyBorder="1" applyAlignment="1">
      <alignment wrapText="1"/>
    </xf>
    <xf numFmtId="168" fontId="26" fillId="115" borderId="51" xfId="1" applyNumberFormat="1" applyFont="1" applyFill="1" applyBorder="1" applyAlignment="1">
      <alignment wrapText="1"/>
    </xf>
    <xf numFmtId="168" fontId="8" fillId="38" borderId="52" xfId="1" applyNumberFormat="1" applyFont="1" applyFill="1" applyBorder="1" applyAlignment="1">
      <alignment vertical="center" wrapText="1"/>
    </xf>
    <xf numFmtId="168" fontId="8" fillId="38" borderId="83" xfId="1" applyNumberFormat="1" applyFont="1" applyFill="1" applyBorder="1" applyAlignment="1">
      <alignment vertical="center" wrapText="1"/>
    </xf>
    <xf numFmtId="168" fontId="266" fillId="127" borderId="69" xfId="1" applyNumberFormat="1" applyFont="1" applyFill="1" applyBorder="1" applyAlignment="1">
      <alignment horizontal="center" vertical="center" wrapText="1"/>
    </xf>
    <xf numFmtId="168" fontId="266" fillId="127" borderId="52" xfId="1" applyNumberFormat="1" applyFont="1" applyFill="1" applyBorder="1" applyAlignment="1">
      <alignment horizontal="center" vertical="center" wrapText="1"/>
    </xf>
    <xf numFmtId="168" fontId="41" fillId="34" borderId="50" xfId="1" applyNumberFormat="1" applyFont="1" applyFill="1" applyBorder="1" applyAlignment="1">
      <alignment horizontal="center" vertical="center" wrapText="1"/>
    </xf>
    <xf numFmtId="168" fontId="41" fillId="34" borderId="52" xfId="1" applyNumberFormat="1" applyFont="1" applyFill="1" applyBorder="1" applyAlignment="1">
      <alignment horizontal="center" vertical="center" wrapText="1"/>
    </xf>
    <xf numFmtId="168" fontId="41" fillId="128" borderId="312" xfId="1" applyNumberFormat="1" applyFont="1" applyFill="1" applyBorder="1" applyAlignment="1">
      <alignment horizontal="center" vertical="center" wrapText="1"/>
    </xf>
    <xf numFmtId="168" fontId="41" fillId="128" borderId="35" xfId="1" applyNumberFormat="1" applyFont="1" applyFill="1" applyBorder="1" applyAlignment="1">
      <alignment horizontal="center" vertical="center" wrapText="1"/>
    </xf>
    <xf numFmtId="168" fontId="41" fillId="129" borderId="312" xfId="1" applyNumberFormat="1" applyFont="1" applyFill="1" applyBorder="1" applyAlignment="1">
      <alignment horizontal="center" vertical="center" wrapText="1"/>
    </xf>
    <xf numFmtId="168" fontId="41" fillId="129" borderId="35" xfId="1" applyNumberFormat="1" applyFont="1" applyFill="1" applyBorder="1" applyAlignment="1">
      <alignment horizontal="center" vertical="center" wrapText="1"/>
    </xf>
    <xf numFmtId="168" fontId="277" fillId="115" borderId="392" xfId="1" applyNumberFormat="1" applyFont="1" applyFill="1" applyBorder="1" applyAlignment="1">
      <alignment horizontal="center"/>
    </xf>
    <xf numFmtId="168" fontId="277" fillId="115" borderId="380" xfId="1" applyNumberFormat="1" applyFont="1" applyFill="1" applyBorder="1" applyAlignment="1">
      <alignment horizontal="center"/>
    </xf>
    <xf numFmtId="168" fontId="8" fillId="38" borderId="37" xfId="1" applyNumberFormat="1" applyFont="1" applyFill="1" applyBorder="1" applyAlignment="1">
      <alignment vertical="center" wrapText="1"/>
    </xf>
    <xf numFmtId="168" fontId="8" fillId="38" borderId="8" xfId="1" applyNumberFormat="1" applyFont="1" applyFill="1" applyBorder="1" applyAlignment="1">
      <alignment vertical="center" wrapText="1"/>
    </xf>
    <xf numFmtId="168" fontId="1" fillId="0" borderId="34" xfId="1" applyNumberFormat="1" applyFont="1" applyFill="1" applyBorder="1"/>
    <xf numFmtId="168" fontId="1" fillId="0" borderId="68" xfId="1" applyNumberFormat="1" applyFont="1" applyFill="1" applyBorder="1"/>
    <xf numFmtId="168" fontId="0" fillId="0" borderId="68" xfId="1" applyNumberFormat="1" applyFont="1" applyFill="1" applyBorder="1"/>
    <xf numFmtId="168" fontId="0" fillId="0" borderId="54" xfId="1" applyNumberFormat="1" applyFont="1" applyBorder="1"/>
    <xf numFmtId="168" fontId="0" fillId="0" borderId="68" xfId="1" applyNumberFormat="1" applyFont="1" applyBorder="1"/>
    <xf numFmtId="168" fontId="0" fillId="0" borderId="53" xfId="1" applyNumberFormat="1" applyFont="1" applyBorder="1"/>
    <xf numFmtId="168" fontId="0" fillId="0" borderId="127" xfId="1" applyNumberFormat="1" applyFont="1" applyBorder="1"/>
    <xf numFmtId="168" fontId="1" fillId="0" borderId="25" xfId="1" applyNumberFormat="1" applyFont="1" applyFill="1" applyBorder="1"/>
    <xf numFmtId="168" fontId="1" fillId="0" borderId="70" xfId="1" applyNumberFormat="1" applyFont="1" applyFill="1" applyBorder="1"/>
    <xf numFmtId="168" fontId="0" fillId="0" borderId="70" xfId="1" applyNumberFormat="1" applyFont="1" applyFill="1" applyBorder="1"/>
    <xf numFmtId="168" fontId="0" fillId="0" borderId="25" xfId="1" applyNumberFormat="1" applyFont="1" applyBorder="1"/>
    <xf numFmtId="168" fontId="0" fillId="0" borderId="70" xfId="1" applyNumberFormat="1" applyFont="1" applyBorder="1"/>
    <xf numFmtId="168" fontId="0" fillId="0" borderId="311" xfId="1" applyNumberFormat="1" applyFont="1" applyBorder="1"/>
    <xf numFmtId="168" fontId="0" fillId="0" borderId="44" xfId="1" applyNumberFormat="1" applyFont="1" applyBorder="1"/>
    <xf numFmtId="168" fontId="1" fillId="0" borderId="25" xfId="1" applyNumberFormat="1" applyFont="1" applyBorder="1"/>
    <xf numFmtId="168" fontId="1" fillId="0" borderId="70" xfId="1" applyNumberFormat="1" applyFont="1" applyBorder="1"/>
    <xf numFmtId="168" fontId="1" fillId="0" borderId="27" xfId="1" applyNumberFormat="1" applyFont="1" applyBorder="1"/>
    <xf numFmtId="168" fontId="1" fillId="0" borderId="81" xfId="1" applyNumberFormat="1" applyFont="1" applyBorder="1"/>
    <xf numFmtId="168" fontId="12" fillId="0" borderId="81" xfId="1" applyNumberFormat="1" applyFont="1" applyBorder="1"/>
    <xf numFmtId="168" fontId="12" fillId="0" borderId="25" xfId="1" applyNumberFormat="1" applyFont="1" applyBorder="1"/>
    <xf numFmtId="168" fontId="12" fillId="0" borderId="70" xfId="1" applyNumberFormat="1" applyFont="1" applyBorder="1"/>
    <xf numFmtId="168" fontId="12" fillId="0" borderId="311" xfId="1" applyNumberFormat="1" applyFont="1" applyBorder="1"/>
    <xf numFmtId="168" fontId="1" fillId="0" borderId="71" xfId="1" applyNumberFormat="1" applyFont="1" applyBorder="1"/>
    <xf numFmtId="168" fontId="12" fillId="0" borderId="71" xfId="1" applyNumberFormat="1" applyFont="1" applyBorder="1"/>
    <xf numFmtId="168" fontId="12" fillId="0" borderId="0" xfId="1" applyNumberFormat="1" applyFont="1" applyBorder="1"/>
    <xf numFmtId="168" fontId="1" fillId="0" borderId="6" xfId="1" applyNumberFormat="1" applyFont="1" applyBorder="1"/>
    <xf numFmtId="168" fontId="12" fillId="0" borderId="37" xfId="1" applyNumberFormat="1" applyFont="1" applyBorder="1"/>
    <xf numFmtId="168" fontId="12" fillId="0" borderId="8" xfId="1" applyNumberFormat="1" applyFont="1" applyBorder="1"/>
    <xf numFmtId="168" fontId="0" fillId="0" borderId="37" xfId="1" applyNumberFormat="1" applyFont="1" applyBorder="1"/>
    <xf numFmtId="168" fontId="0" fillId="0" borderId="392" xfId="1" applyNumberFormat="1" applyFont="1" applyBorder="1"/>
    <xf numFmtId="168" fontId="26" fillId="38" borderId="5" xfId="1" applyNumberFormat="1" applyFont="1" applyFill="1" applyBorder="1"/>
    <xf numFmtId="168" fontId="26" fillId="38" borderId="40" xfId="1" applyNumberFormat="1" applyFont="1" applyFill="1" applyBorder="1"/>
    <xf numFmtId="168" fontId="26" fillId="38" borderId="52" xfId="1" applyNumberFormat="1" applyFont="1" applyFill="1" applyBorder="1"/>
    <xf numFmtId="9" fontId="126" fillId="0" borderId="0" xfId="2" applyFont="1" applyFill="1" applyBorder="1" applyAlignment="1">
      <alignment horizontal="center" vertical="center"/>
    </xf>
    <xf numFmtId="167" fontId="252" fillId="70" borderId="40" xfId="2" applyNumberFormat="1" applyFont="1" applyFill="1" applyBorder="1" applyAlignment="1">
      <alignment horizontal="center" vertical="center" wrapText="1"/>
    </xf>
    <xf numFmtId="167" fontId="252" fillId="14" borderId="52" xfId="2" applyNumberFormat="1" applyFont="1" applyFill="1" applyBorder="1" applyAlignment="1">
      <alignment horizontal="center" vertical="center" wrapText="1"/>
    </xf>
    <xf numFmtId="0" fontId="157" fillId="28" borderId="0" xfId="0" applyFont="1" applyFill="1" applyAlignment="1">
      <alignment horizontal="center" vertical="center" wrapText="1"/>
    </xf>
    <xf numFmtId="167" fontId="12" fillId="0" borderId="35" xfId="2" applyNumberFormat="1" applyFont="1" applyFill="1" applyBorder="1" applyAlignment="1"/>
    <xf numFmtId="167" fontId="12" fillId="0" borderId="53" xfId="2" applyNumberFormat="1" applyFont="1" applyFill="1" applyBorder="1" applyAlignment="1"/>
    <xf numFmtId="167" fontId="12" fillId="0" borderId="311" xfId="2" applyNumberFormat="1" applyFont="1" applyFill="1" applyBorder="1" applyAlignment="1"/>
    <xf numFmtId="167" fontId="12" fillId="0" borderId="56" xfId="2" applyNumberFormat="1" applyFont="1" applyFill="1" applyBorder="1" applyAlignment="1"/>
    <xf numFmtId="168" fontId="11" fillId="120" borderId="53" xfId="1" applyNumberFormat="1" applyFont="1" applyFill="1" applyBorder="1"/>
    <xf numFmtId="168" fontId="11" fillId="73" borderId="53" xfId="1" applyNumberFormat="1" applyFont="1" applyFill="1" applyBorder="1"/>
    <xf numFmtId="167" fontId="11" fillId="73" borderId="40" xfId="2" applyNumberFormat="1" applyFont="1" applyFill="1" applyBorder="1"/>
    <xf numFmtId="168" fontId="11" fillId="14" borderId="52" xfId="1" applyNumberFormat="1" applyFont="1" applyFill="1" applyBorder="1"/>
    <xf numFmtId="167" fontId="11" fillId="14" borderId="40" xfId="2" applyNumberFormat="1" applyFont="1" applyFill="1" applyBorder="1"/>
    <xf numFmtId="168" fontId="11" fillId="118" borderId="52" xfId="1" applyNumberFormat="1" applyFont="1" applyFill="1" applyBorder="1"/>
    <xf numFmtId="167" fontId="11" fillId="118" borderId="40" xfId="2" applyNumberFormat="1" applyFont="1" applyFill="1" applyBorder="1"/>
    <xf numFmtId="168" fontId="11" fillId="29" borderId="52" xfId="1" applyNumberFormat="1" applyFont="1" applyFill="1" applyBorder="1"/>
    <xf numFmtId="167" fontId="11" fillId="29" borderId="40" xfId="2" applyNumberFormat="1" applyFont="1" applyFill="1" applyBorder="1"/>
    <xf numFmtId="168" fontId="11" fillId="26" borderId="52" xfId="1" applyNumberFormat="1" applyFont="1" applyFill="1" applyBorder="1"/>
    <xf numFmtId="167" fontId="11" fillId="26" borderId="40" xfId="2" applyNumberFormat="1" applyFont="1" applyFill="1" applyBorder="1"/>
    <xf numFmtId="168" fontId="11" fillId="130" borderId="52" xfId="1" applyNumberFormat="1" applyFont="1" applyFill="1" applyBorder="1"/>
    <xf numFmtId="167" fontId="11" fillId="130" borderId="40" xfId="2" applyNumberFormat="1" applyFont="1" applyFill="1" applyBorder="1"/>
    <xf numFmtId="168" fontId="126" fillId="16" borderId="41" xfId="1" applyNumberFormat="1" applyFont="1" applyFill="1" applyBorder="1" applyAlignment="1">
      <alignment horizontal="center" vertical="center"/>
    </xf>
    <xf numFmtId="0" fontId="245" fillId="16" borderId="6" xfId="0" applyFont="1" applyFill="1" applyBorder="1" applyAlignment="1">
      <alignment horizontal="center" vertical="center" wrapText="1"/>
    </xf>
    <xf numFmtId="167" fontId="12" fillId="16" borderId="6" xfId="2" applyNumberFormat="1" applyFont="1" applyFill="1" applyBorder="1" applyAlignment="1"/>
    <xf numFmtId="167" fontId="12" fillId="16" borderId="108" xfId="2" applyNumberFormat="1" applyFont="1" applyFill="1" applyBorder="1" applyAlignment="1"/>
    <xf numFmtId="167" fontId="12" fillId="26" borderId="6" xfId="2" applyNumberFormat="1" applyFont="1" applyFill="1" applyBorder="1" applyAlignment="1"/>
    <xf numFmtId="167" fontId="12" fillId="130" borderId="6" xfId="2" applyNumberFormat="1" applyFont="1" applyFill="1" applyBorder="1" applyAlignment="1"/>
    <xf numFmtId="168" fontId="11" fillId="121" borderId="41" xfId="1" applyNumberFormat="1" applyFont="1" applyFill="1" applyBorder="1" applyAlignment="1">
      <alignment horizontal="center" vertical="center"/>
    </xf>
    <xf numFmtId="0" fontId="11" fillId="121" borderId="8" xfId="0" applyFont="1" applyFill="1" applyBorder="1" applyAlignment="1">
      <alignment horizontal="center"/>
    </xf>
    <xf numFmtId="168" fontId="11" fillId="27" borderId="41" xfId="1" applyNumberFormat="1" applyFont="1" applyFill="1" applyBorder="1" applyAlignment="1">
      <alignment horizontal="center" vertical="center"/>
    </xf>
    <xf numFmtId="0" fontId="12" fillId="27" borderId="8" xfId="0" applyFont="1" applyFill="1" applyBorder="1" applyAlignment="1">
      <alignment horizontal="center"/>
    </xf>
    <xf numFmtId="168" fontId="11" fillId="14" borderId="41" xfId="1" applyNumberFormat="1" applyFont="1" applyFill="1" applyBorder="1" applyAlignment="1">
      <alignment horizontal="center" vertical="center"/>
    </xf>
    <xf numFmtId="0" fontId="12" fillId="14" borderId="8" xfId="0" applyFont="1" applyFill="1" applyBorder="1" applyAlignment="1">
      <alignment horizontal="center"/>
    </xf>
    <xf numFmtId="168" fontId="11" fillId="118" borderId="41" xfId="1" applyNumberFormat="1" applyFont="1" applyFill="1" applyBorder="1" applyAlignment="1">
      <alignment horizontal="center" vertical="center"/>
    </xf>
    <xf numFmtId="0" fontId="12" fillId="118" borderId="8" xfId="0" applyFont="1" applyFill="1" applyBorder="1" applyAlignment="1">
      <alignment horizontal="center"/>
    </xf>
    <xf numFmtId="168" fontId="11" fillId="31" borderId="41" xfId="1" applyNumberFormat="1" applyFont="1" applyFill="1" applyBorder="1" applyAlignment="1">
      <alignment horizontal="center" vertical="center"/>
    </xf>
    <xf numFmtId="168" fontId="11" fillId="31" borderId="8" xfId="1" applyNumberFormat="1" applyFont="1" applyFill="1" applyBorder="1" applyAlignment="1">
      <alignment horizontal="center" vertical="center"/>
    </xf>
    <xf numFmtId="168" fontId="11" fillId="26" borderId="41" xfId="1" applyNumberFormat="1" applyFont="1" applyFill="1" applyBorder="1" applyAlignment="1">
      <alignment horizontal="center" vertical="center"/>
    </xf>
    <xf numFmtId="168" fontId="11" fillId="26" borderId="8" xfId="1" applyNumberFormat="1" applyFont="1" applyFill="1" applyBorder="1" applyAlignment="1">
      <alignment horizontal="center" vertical="center"/>
    </xf>
    <xf numFmtId="168" fontId="11" fillId="130" borderId="41" xfId="1" applyNumberFormat="1" applyFont="1" applyFill="1" applyBorder="1" applyAlignment="1">
      <alignment horizontal="center" vertical="center"/>
    </xf>
    <xf numFmtId="168" fontId="11" fillId="130" borderId="8" xfId="1" applyNumberFormat="1" applyFont="1" applyFill="1" applyBorder="1" applyAlignment="1">
      <alignment horizontal="center" vertical="center"/>
    </xf>
    <xf numFmtId="0" fontId="26" fillId="16" borderId="127" xfId="0" applyFont="1" applyFill="1" applyBorder="1" applyAlignment="1">
      <alignment horizontal="center" vertical="center" wrapText="1"/>
    </xf>
    <xf numFmtId="0" fontId="26" fillId="16" borderId="42" xfId="0" applyFont="1" applyFill="1" applyBorder="1" applyAlignment="1">
      <alignment horizontal="center" vertical="center" wrapText="1"/>
    </xf>
    <xf numFmtId="0" fontId="26" fillId="16" borderId="43" xfId="0" applyFont="1" applyFill="1" applyBorder="1" applyAlignment="1">
      <alignment horizontal="center" vertical="center" wrapText="1"/>
    </xf>
    <xf numFmtId="0" fontId="0" fillId="16" borderId="44" xfId="0" applyFill="1" applyBorder="1" applyAlignment="1">
      <alignment horizontal="center" vertical="center" wrapText="1"/>
    </xf>
    <xf numFmtId="165" fontId="0" fillId="16" borderId="421" xfId="3" applyNumberFormat="1" applyFont="1" applyFill="1" applyBorder="1" applyAlignment="1">
      <alignment horizontal="center" vertical="center" wrapText="1"/>
    </xf>
    <xf numFmtId="168" fontId="0" fillId="16" borderId="45" xfId="0" applyNumberFormat="1" applyFill="1" applyBorder="1" applyAlignment="1">
      <alignment horizontal="center" vertical="center" wrapText="1"/>
    </xf>
    <xf numFmtId="0" fontId="0" fillId="16" borderId="46" xfId="0" applyFill="1" applyBorder="1" applyAlignment="1">
      <alignment horizontal="center" vertical="center" wrapText="1"/>
    </xf>
    <xf numFmtId="165" fontId="0" fillId="16" borderId="47" xfId="3" applyNumberFormat="1" applyFont="1" applyFill="1" applyBorder="1" applyAlignment="1">
      <alignment horizontal="center" vertical="center" wrapText="1"/>
    </xf>
    <xf numFmtId="168" fontId="0" fillId="16" borderId="48" xfId="0" applyNumberFormat="1" applyFill="1" applyBorder="1" applyAlignment="1">
      <alignment horizontal="center" vertical="center" wrapText="1"/>
    </xf>
    <xf numFmtId="9" fontId="0" fillId="16" borderId="83" xfId="2" applyFont="1" applyFill="1" applyBorder="1" applyAlignment="1">
      <alignment horizontal="center"/>
    </xf>
    <xf numFmtId="0" fontId="0" fillId="16" borderId="5" xfId="0" applyFill="1" applyBorder="1" applyAlignment="1">
      <alignment horizontal="center"/>
    </xf>
    <xf numFmtId="0" fontId="10" fillId="16" borderId="0" xfId="0" applyFont="1" applyFill="1" applyAlignment="1">
      <alignment horizontal="center" vertical="center" wrapText="1"/>
    </xf>
    <xf numFmtId="0" fontId="0" fillId="0" borderId="261" xfId="0" applyBorder="1"/>
    <xf numFmtId="0" fontId="0" fillId="16" borderId="45" xfId="0" applyFill="1" applyBorder="1" applyAlignment="1">
      <alignment horizontal="center" vertical="center" wrapText="1"/>
    </xf>
    <xf numFmtId="0" fontId="0" fillId="16" borderId="48" xfId="0" applyFill="1" applyBorder="1" applyAlignment="1">
      <alignment horizontal="center" vertical="center" wrapText="1"/>
    </xf>
    <xf numFmtId="0" fontId="0" fillId="16" borderId="37" xfId="0" applyFill="1" applyBorder="1"/>
    <xf numFmtId="0" fontId="0" fillId="16" borderId="0" xfId="0" applyFill="1" applyBorder="1"/>
    <xf numFmtId="0" fontId="0" fillId="16" borderId="7" xfId="0" applyFill="1" applyBorder="1"/>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168" fontId="61" fillId="5" borderId="44" xfId="1" applyNumberFormat="1" applyFont="1" applyFill="1" applyBorder="1"/>
    <xf numFmtId="168" fontId="61" fillId="5" borderId="13" xfId="1" applyNumberFormat="1" applyFont="1" applyFill="1" applyBorder="1"/>
    <xf numFmtId="168" fontId="61" fillId="5" borderId="45" xfId="1" applyNumberFormat="1" applyFont="1" applyFill="1" applyBorder="1"/>
    <xf numFmtId="168" fontId="61" fillId="0" borderId="44" xfId="1" applyNumberFormat="1" applyFont="1" applyFill="1" applyBorder="1"/>
    <xf numFmtId="168" fontId="61" fillId="0" borderId="13" xfId="1" applyNumberFormat="1" applyFont="1" applyFill="1" applyBorder="1"/>
    <xf numFmtId="168" fontId="61" fillId="0" borderId="45" xfId="1" applyNumberFormat="1" applyFont="1" applyFill="1" applyBorder="1"/>
    <xf numFmtId="168" fontId="61" fillId="16" borderId="8" xfId="1" applyNumberFormat="1" applyFont="1" applyFill="1" applyBorder="1"/>
    <xf numFmtId="3" fontId="251" fillId="3" borderId="70" xfId="0" applyNumberFormat="1" applyFont="1" applyFill="1" applyBorder="1"/>
    <xf numFmtId="0" fontId="17" fillId="0" borderId="5" xfId="0" applyFont="1" applyFill="1" applyBorder="1" applyAlignment="1">
      <alignment horizontal="center" vertical="center"/>
    </xf>
    <xf numFmtId="3" fontId="264" fillId="0" borderId="5" xfId="0" applyNumberFormat="1" applyFont="1" applyFill="1" applyBorder="1"/>
    <xf numFmtId="168" fontId="26" fillId="0" borderId="6" xfId="1" applyNumberFormat="1" applyFont="1" applyFill="1" applyBorder="1" applyAlignment="1">
      <alignment vertical="center"/>
    </xf>
    <xf numFmtId="167" fontId="252" fillId="0" borderId="8" xfId="2" applyNumberFormat="1" applyFont="1" applyFill="1" applyBorder="1" applyAlignment="1">
      <alignment horizontal="center" vertical="center"/>
    </xf>
    <xf numFmtId="0" fontId="17" fillId="85" borderId="83" xfId="0" applyFont="1" applyFill="1" applyBorder="1" applyAlignment="1">
      <alignment horizontal="center" vertical="center"/>
    </xf>
    <xf numFmtId="168" fontId="26" fillId="85" borderId="7" xfId="1" applyNumberFormat="1" applyFont="1" applyFill="1" applyBorder="1" applyAlignment="1">
      <alignment vertical="center"/>
    </xf>
    <xf numFmtId="167" fontId="252" fillId="0" borderId="9" xfId="2" applyNumberFormat="1" applyFont="1" applyBorder="1" applyAlignment="1">
      <alignment horizontal="center" vertical="center"/>
    </xf>
    <xf numFmtId="0" fontId="5" fillId="0" borderId="6" xfId="0" applyFont="1" applyFill="1" applyBorder="1"/>
    <xf numFmtId="0" fontId="17" fillId="0" borderId="6" xfId="0" applyFont="1" applyFill="1" applyBorder="1" applyAlignment="1">
      <alignment horizontal="center" vertical="center" wrapText="1"/>
    </xf>
    <xf numFmtId="3" fontId="5" fillId="0" borderId="6" xfId="0" applyNumberFormat="1" applyFont="1" applyFill="1" applyBorder="1"/>
    <xf numFmtId="0" fontId="1" fillId="0" borderId="6" xfId="0" applyFont="1" applyFill="1" applyBorder="1"/>
    <xf numFmtId="0" fontId="262" fillId="0" borderId="6" xfId="0" applyFont="1" applyFill="1" applyBorder="1" applyAlignment="1">
      <alignment horizontal="center" vertical="center"/>
    </xf>
    <xf numFmtId="168" fontId="26" fillId="0" borderId="41" xfId="1" applyNumberFormat="1" applyFont="1" applyFill="1" applyBorder="1" applyAlignment="1">
      <alignment vertical="center"/>
    </xf>
    <xf numFmtId="3" fontId="264" fillId="118" borderId="83" xfId="0" applyNumberFormat="1" applyFont="1" applyFill="1" applyBorder="1"/>
    <xf numFmtId="10" fontId="61" fillId="70" borderId="19" xfId="2" applyNumberFormat="1" applyFont="1" applyFill="1" applyBorder="1"/>
    <xf numFmtId="10" fontId="61" fillId="70" borderId="420" xfId="2" applyNumberFormat="1" applyFont="1" applyFill="1" applyBorder="1"/>
    <xf numFmtId="10" fontId="61" fillId="70" borderId="5" xfId="2" applyNumberFormat="1" applyFont="1" applyFill="1" applyBorder="1"/>
    <xf numFmtId="10" fontId="252" fillId="0" borderId="6" xfId="2" applyNumberFormat="1" applyFont="1" applyBorder="1" applyAlignment="1">
      <alignment horizontal="center"/>
    </xf>
    <xf numFmtId="0" fontId="5" fillId="85" borderId="7" xfId="0" applyFont="1" applyFill="1" applyBorder="1"/>
    <xf numFmtId="0" fontId="17" fillId="85" borderId="7" xfId="0" applyFont="1" applyFill="1" applyBorder="1" applyAlignment="1">
      <alignment horizontal="center" vertical="center" wrapText="1"/>
    </xf>
    <xf numFmtId="0" fontId="5" fillId="0" borderId="8" xfId="0" applyFont="1" applyFill="1" applyBorder="1"/>
    <xf numFmtId="0" fontId="5" fillId="85" borderId="9" xfId="0" applyFont="1" applyFill="1" applyBorder="1"/>
    <xf numFmtId="0" fontId="61" fillId="0" borderId="40" xfId="0" applyFont="1" applyFill="1" applyBorder="1" applyAlignment="1">
      <alignment horizontal="center" vertical="center" wrapText="1"/>
    </xf>
    <xf numFmtId="10" fontId="61" fillId="0" borderId="35" xfId="2" applyNumberFormat="1" applyFont="1" applyFill="1" applyBorder="1" applyAlignment="1">
      <alignment horizontal="center"/>
    </xf>
    <xf numFmtId="10" fontId="61" fillId="0" borderId="37" xfId="2" applyNumberFormat="1" applyFont="1" applyFill="1" applyBorder="1" applyAlignment="1">
      <alignment horizontal="center"/>
    </xf>
    <xf numFmtId="10" fontId="61" fillId="0" borderId="40" xfId="2" applyNumberFormat="1" applyFont="1" applyFill="1" applyBorder="1" applyAlignment="1">
      <alignment horizontal="center"/>
    </xf>
    <xf numFmtId="10" fontId="61" fillId="0" borderId="6" xfId="2" applyNumberFormat="1" applyFont="1" applyFill="1" applyBorder="1" applyAlignment="1">
      <alignment horizontal="center" vertical="center"/>
    </xf>
    <xf numFmtId="10" fontId="61" fillId="26" borderId="6" xfId="2" applyNumberFormat="1" applyFont="1" applyFill="1" applyBorder="1" applyAlignment="1">
      <alignment horizontal="center" vertical="center"/>
    </xf>
    <xf numFmtId="10" fontId="61" fillId="26" borderId="8" xfId="2" applyNumberFormat="1" applyFont="1" applyFill="1" applyBorder="1" applyAlignment="1">
      <alignment horizontal="center" vertical="center"/>
    </xf>
    <xf numFmtId="166" fontId="139" fillId="14" borderId="422" xfId="1" applyFont="1" applyFill="1" applyBorder="1" applyAlignment="1">
      <alignment horizontal="right"/>
    </xf>
    <xf numFmtId="3" fontId="274" fillId="14" borderId="422" xfId="67" applyNumberFormat="1" applyFont="1" applyFill="1" applyBorder="1" applyAlignment="1">
      <alignment horizontal="right"/>
    </xf>
    <xf numFmtId="10" fontId="243" fillId="14" borderId="43" xfId="4" applyNumberFormat="1" applyFont="1" applyFill="1" applyBorder="1" applyAlignment="1" applyProtection="1">
      <alignment horizontal="center" vertical="center" wrapText="1"/>
    </xf>
    <xf numFmtId="3" fontId="274" fillId="0" borderId="128" xfId="67" applyNumberFormat="1" applyFont="1" applyFill="1" applyBorder="1" applyAlignment="1">
      <alignment horizontal="right"/>
    </xf>
    <xf numFmtId="166" fontId="226" fillId="14" borderId="19" xfId="1" applyFont="1" applyFill="1" applyBorder="1" applyAlignment="1">
      <alignment horizontal="right"/>
    </xf>
    <xf numFmtId="3" fontId="274" fillId="14" borderId="19" xfId="67" applyNumberFormat="1" applyFont="1" applyFill="1" applyBorder="1" applyAlignment="1">
      <alignment horizontal="right"/>
    </xf>
    <xf numFmtId="10" fontId="273" fillId="14" borderId="318" xfId="4" applyNumberFormat="1" applyFont="1" applyFill="1" applyBorder="1" applyAlignment="1" applyProtection="1">
      <alignment horizontal="center" vertical="center" wrapText="1"/>
    </xf>
    <xf numFmtId="3" fontId="274" fillId="14" borderId="49" xfId="0" applyNumberFormat="1" applyFont="1" applyFill="1" applyBorder="1"/>
    <xf numFmtId="166" fontId="274" fillId="14" borderId="50" xfId="1" applyFont="1" applyFill="1" applyBorder="1"/>
    <xf numFmtId="3" fontId="274" fillId="14" borderId="50" xfId="0" applyNumberFormat="1" applyFont="1" applyFill="1" applyBorder="1"/>
    <xf numFmtId="3" fontId="300" fillId="14" borderId="51" xfId="0" applyNumberFormat="1" applyFont="1" applyFill="1" applyBorder="1"/>
    <xf numFmtId="3" fontId="226" fillId="131" borderId="50" xfId="0" applyNumberFormat="1" applyFont="1" applyFill="1" applyBorder="1"/>
    <xf numFmtId="0" fontId="61" fillId="0" borderId="37" xfId="0" applyFont="1" applyFill="1" applyBorder="1" applyAlignment="1">
      <alignment horizontal="center" vertical="center" wrapText="1"/>
    </xf>
    <xf numFmtId="171" fontId="7" fillId="16" borderId="0" xfId="0" applyNumberFormat="1" applyFont="1" applyFill="1" applyBorder="1" applyAlignment="1">
      <alignment horizontal="left" vertical="center" wrapText="1"/>
    </xf>
    <xf numFmtId="167" fontId="301" fillId="28" borderId="0" xfId="2" applyNumberFormat="1" applyFont="1" applyFill="1" applyAlignment="1">
      <alignment horizontal="center" vertical="center"/>
    </xf>
    <xf numFmtId="9" fontId="301" fillId="28" borderId="0" xfId="2" applyNumberFormat="1" applyFont="1" applyFill="1" applyAlignment="1">
      <alignment horizontal="center" vertical="center"/>
    </xf>
    <xf numFmtId="0" fontId="30" fillId="136" borderId="37" xfId="0" applyFont="1" applyFill="1" applyBorder="1"/>
    <xf numFmtId="0" fontId="30" fillId="136" borderId="40" xfId="0" applyFont="1" applyFill="1" applyBorder="1"/>
    <xf numFmtId="1" fontId="30" fillId="107" borderId="35" xfId="0" applyNumberFormat="1" applyFont="1" applyFill="1" applyBorder="1" applyAlignment="1">
      <alignment horizontal="left" vertical="center"/>
    </xf>
    <xf numFmtId="171" fontId="30" fillId="107" borderId="29" xfId="0" applyNumberFormat="1" applyFont="1" applyFill="1" applyBorder="1" applyAlignment="1">
      <alignment horizontal="center" vertical="center"/>
    </xf>
    <xf numFmtId="171" fontId="30" fillId="107" borderId="30" xfId="0" applyNumberFormat="1" applyFont="1" applyFill="1" applyBorder="1" applyAlignment="1">
      <alignment horizontal="center" vertical="center"/>
    </xf>
    <xf numFmtId="171" fontId="30" fillId="107" borderId="66" xfId="0" applyNumberFormat="1" applyFont="1" applyFill="1" applyBorder="1" applyAlignment="1">
      <alignment horizontal="center" vertical="center"/>
    </xf>
    <xf numFmtId="171" fontId="30" fillId="28" borderId="42" xfId="0" applyNumberFormat="1" applyFont="1" applyFill="1" applyBorder="1" applyAlignment="1">
      <alignment horizontal="center" vertical="center"/>
    </xf>
    <xf numFmtId="0" fontId="30" fillId="136" borderId="52" xfId="0" applyFont="1" applyFill="1" applyBorder="1" applyAlignment="1">
      <alignment horizontal="center" vertical="center"/>
    </xf>
    <xf numFmtId="171" fontId="30" fillId="107" borderId="427" xfId="0" applyNumberFormat="1" applyFont="1" applyFill="1" applyBorder="1" applyAlignment="1">
      <alignment horizontal="center" vertical="center"/>
    </xf>
    <xf numFmtId="171" fontId="30" fillId="107" borderId="428" xfId="0" applyNumberFormat="1" applyFont="1" applyFill="1" applyBorder="1" applyAlignment="1">
      <alignment horizontal="center" vertical="center"/>
    </xf>
    <xf numFmtId="171" fontId="30" fillId="28" borderId="43" xfId="0" applyNumberFormat="1" applyFont="1" applyFill="1" applyBorder="1" applyAlignment="1">
      <alignment horizontal="center" vertical="center"/>
    </xf>
    <xf numFmtId="171" fontId="30" fillId="10" borderId="427" xfId="0" applyNumberFormat="1" applyFont="1" applyFill="1" applyBorder="1" applyAlignment="1">
      <alignment horizontal="center" vertical="center"/>
    </xf>
    <xf numFmtId="171" fontId="30" fillId="10" borderId="428" xfId="0" applyNumberFormat="1" applyFont="1" applyFill="1" applyBorder="1" applyAlignment="1">
      <alignment horizontal="center" vertical="center"/>
    </xf>
    <xf numFmtId="171" fontId="63" fillId="3" borderId="43" xfId="0" applyNumberFormat="1" applyFont="1" applyFill="1" applyBorder="1" applyAlignment="1">
      <alignment horizontal="center"/>
    </xf>
    <xf numFmtId="171" fontId="61" fillId="14" borderId="421" xfId="0" applyNumberFormat="1" applyFont="1" applyFill="1" applyBorder="1" applyAlignment="1">
      <alignment horizontal="center"/>
    </xf>
    <xf numFmtId="171" fontId="30" fillId="28" borderId="0" xfId="0" applyNumberFormat="1" applyFont="1" applyFill="1" applyBorder="1" applyAlignment="1">
      <alignment horizontal="center" vertical="center"/>
    </xf>
    <xf numFmtId="165" fontId="0" fillId="3" borderId="47" xfId="3" applyNumberFormat="1" applyFont="1" applyFill="1" applyBorder="1" applyAlignment="1">
      <alignment horizontal="center" vertical="center" wrapText="1"/>
    </xf>
    <xf numFmtId="168" fontId="0" fillId="3" borderId="48" xfId="0" applyNumberFormat="1" applyFill="1" applyBorder="1" applyAlignment="1">
      <alignment horizontal="center" vertical="center" wrapText="1"/>
    </xf>
    <xf numFmtId="0" fontId="0" fillId="3" borderId="45" xfId="0" applyFill="1" applyBorder="1" applyAlignment="1">
      <alignment horizontal="center" vertical="center" wrapText="1"/>
    </xf>
    <xf numFmtId="10" fontId="243" fillId="14" borderId="45" xfId="4" applyNumberFormat="1" applyFont="1" applyFill="1" applyBorder="1" applyAlignment="1" applyProtection="1">
      <alignment horizontal="center" vertical="center" wrapText="1"/>
    </xf>
    <xf numFmtId="9" fontId="276" fillId="14" borderId="0" xfId="2" applyNumberFormat="1" applyFont="1" applyFill="1" applyBorder="1"/>
    <xf numFmtId="0" fontId="139" fillId="131" borderId="376" xfId="0" applyFont="1" applyFill="1" applyBorder="1" applyAlignment="1">
      <alignment horizontal="center" vertical="center" wrapText="1"/>
    </xf>
    <xf numFmtId="3" fontId="274" fillId="14" borderId="69" xfId="0" applyNumberFormat="1" applyFont="1" applyFill="1" applyBorder="1"/>
    <xf numFmtId="3" fontId="139" fillId="131" borderId="69" xfId="0" applyNumberFormat="1" applyFont="1" applyFill="1" applyBorder="1"/>
    <xf numFmtId="3" fontId="290" fillId="16" borderId="29" xfId="0" applyNumberFormat="1" applyFont="1" applyFill="1" applyBorder="1" applyAlignment="1">
      <alignment horizontal="center" vertical="center" wrapText="1"/>
    </xf>
    <xf numFmtId="3" fontId="12" fillId="0" borderId="0" xfId="0" applyNumberFormat="1" applyFont="1" applyBorder="1"/>
    <xf numFmtId="166" fontId="126" fillId="0" borderId="0" xfId="0" applyNumberFormat="1" applyFont="1" applyBorder="1"/>
    <xf numFmtId="167" fontId="106" fillId="0" borderId="33" xfId="2" applyNumberFormat="1" applyFont="1" applyFill="1" applyBorder="1" applyAlignment="1">
      <alignment horizontal="center" vertical="center"/>
    </xf>
    <xf numFmtId="9" fontId="274" fillId="14" borderId="382" xfId="2" applyFont="1" applyFill="1" applyBorder="1" applyAlignment="1">
      <alignment horizontal="right"/>
    </xf>
    <xf numFmtId="9" fontId="274" fillId="14" borderId="431" xfId="2" applyFont="1" applyFill="1" applyBorder="1" applyAlignment="1">
      <alignment horizontal="right"/>
    </xf>
    <xf numFmtId="9" fontId="274" fillId="0" borderId="63" xfId="2" applyFont="1" applyFill="1" applyBorder="1" applyAlignment="1">
      <alignment horizontal="right"/>
    </xf>
    <xf numFmtId="10" fontId="41" fillId="0" borderId="9" xfId="0" applyNumberFormat="1" applyFont="1" applyFill="1" applyBorder="1"/>
    <xf numFmtId="3" fontId="291" fillId="0" borderId="0" xfId="7" applyNumberFormat="1" applyFont="1" applyFill="1"/>
    <xf numFmtId="0" fontId="6" fillId="16" borderId="0" xfId="0"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15" fontId="5" fillId="3" borderId="0" xfId="0" applyNumberFormat="1" applyFont="1" applyFill="1" applyAlignment="1">
      <alignment horizontal="center"/>
    </xf>
    <xf numFmtId="165" fontId="28" fillId="0" borderId="0" xfId="3" applyFont="1" applyAlignment="1">
      <alignment vertical="center"/>
    </xf>
    <xf numFmtId="185" fontId="10" fillId="0" borderId="0" xfId="3" applyNumberFormat="1" applyFont="1"/>
    <xf numFmtId="9" fontId="20" fillId="0" borderId="0" xfId="2" applyFont="1" applyAlignment="1">
      <alignment horizontal="center"/>
    </xf>
    <xf numFmtId="3" fontId="227" fillId="14" borderId="127" xfId="67" applyNumberFormat="1" applyFont="1" applyFill="1" applyBorder="1" applyAlignment="1">
      <alignment horizontal="right"/>
    </xf>
    <xf numFmtId="3" fontId="227" fillId="14" borderId="268" xfId="67" applyNumberFormat="1" applyFont="1" applyFill="1" applyBorder="1" applyAlignment="1">
      <alignment horizontal="right"/>
    </xf>
    <xf numFmtId="0" fontId="61" fillId="0" borderId="429" xfId="0" applyFont="1" applyFill="1" applyBorder="1" applyAlignment="1">
      <alignment horizontal="center" vertical="center"/>
    </xf>
    <xf numFmtId="168" fontId="61" fillId="26" borderId="432" xfId="1" applyNumberFormat="1" applyFont="1" applyFill="1" applyBorder="1" applyAlignment="1">
      <alignment horizontal="center" vertical="center"/>
    </xf>
    <xf numFmtId="168" fontId="73" fillId="26" borderId="432" xfId="1" applyNumberFormat="1" applyFont="1" applyFill="1" applyBorder="1" applyAlignment="1">
      <alignment horizontal="center" vertical="center"/>
    </xf>
    <xf numFmtId="168" fontId="63" fillId="26" borderId="432" xfId="1" applyNumberFormat="1" applyFont="1" applyFill="1" applyBorder="1" applyAlignment="1">
      <alignment horizontal="center" vertical="center"/>
    </xf>
    <xf numFmtId="9" fontId="61" fillId="26" borderId="432" xfId="2" applyFont="1" applyFill="1" applyBorder="1" applyAlignment="1">
      <alignment horizontal="center" vertical="center"/>
    </xf>
    <xf numFmtId="3" fontId="61" fillId="28" borderId="422" xfId="0" applyNumberFormat="1" applyFont="1" applyFill="1" applyBorder="1" applyAlignment="1">
      <alignment horizontal="right" vertical="center"/>
    </xf>
    <xf numFmtId="0" fontId="30" fillId="70" borderId="262" xfId="0" applyFont="1" applyFill="1" applyBorder="1" applyAlignment="1">
      <alignment horizontal="center" vertical="center"/>
    </xf>
    <xf numFmtId="3" fontId="61" fillId="70" borderId="423" xfId="0" applyNumberFormat="1" applyFont="1" applyFill="1" applyBorder="1" applyAlignment="1">
      <alignment horizontal="center" vertical="center"/>
    </xf>
    <xf numFmtId="167" fontId="61" fillId="70" borderId="423" xfId="2" applyNumberFormat="1" applyFont="1" applyFill="1" applyBorder="1" applyAlignment="1">
      <alignment horizontal="center" vertical="center"/>
    </xf>
    <xf numFmtId="0" fontId="61" fillId="0" borderId="29" xfId="0" applyFont="1" applyBorder="1" applyAlignment="1">
      <alignment vertical="center"/>
    </xf>
    <xf numFmtId="0" fontId="61" fillId="38" borderId="432" xfId="0" applyFont="1" applyFill="1" applyBorder="1" applyAlignment="1">
      <alignment horizontal="left" vertical="center" wrapText="1"/>
    </xf>
    <xf numFmtId="3" fontId="61" fillId="0" borderId="432" xfId="0" applyNumberFormat="1" applyFont="1" applyFill="1" applyBorder="1" applyAlignment="1">
      <alignment horizontal="center" vertical="center"/>
    </xf>
    <xf numFmtId="3" fontId="61" fillId="15" borderId="432" xfId="0" applyNumberFormat="1" applyFont="1" applyFill="1" applyBorder="1" applyAlignment="1">
      <alignment horizontal="center" vertical="center"/>
    </xf>
    <xf numFmtId="3" fontId="61" fillId="12" borderId="432" xfId="0" applyNumberFormat="1" applyFont="1" applyFill="1" applyBorder="1" applyAlignment="1">
      <alignment horizontal="center" vertical="center"/>
    </xf>
    <xf numFmtId="3" fontId="61" fillId="83" borderId="432" xfId="0" applyNumberFormat="1" applyFont="1" applyFill="1" applyBorder="1" applyAlignment="1">
      <alignment horizontal="center" vertical="center"/>
    </xf>
    <xf numFmtId="3" fontId="61" fillId="84" borderId="432" xfId="0" applyNumberFormat="1" applyFont="1" applyFill="1" applyBorder="1" applyAlignment="1">
      <alignment horizontal="center" vertical="center"/>
    </xf>
    <xf numFmtId="3" fontId="61" fillId="16" borderId="432" xfId="0" applyNumberFormat="1" applyFont="1" applyFill="1" applyBorder="1" applyAlignment="1">
      <alignment horizontal="center" vertical="center"/>
    </xf>
    <xf numFmtId="3" fontId="61" fillId="14" borderId="429" xfId="0" applyNumberFormat="1" applyFont="1" applyFill="1" applyBorder="1" applyAlignment="1">
      <alignment horizontal="center" vertical="center"/>
    </xf>
    <xf numFmtId="3" fontId="61" fillId="26" borderId="421" xfId="0" applyNumberFormat="1" applyFont="1" applyFill="1" applyBorder="1" applyAlignment="1">
      <alignment horizontal="center" vertical="center"/>
    </xf>
    <xf numFmtId="167" fontId="61" fillId="26" borderId="47" xfId="2" applyNumberFormat="1" applyFont="1" applyFill="1" applyBorder="1" applyAlignment="1">
      <alignment horizontal="center" vertical="center"/>
    </xf>
    <xf numFmtId="167" fontId="61" fillId="70" borderId="316" xfId="2" applyNumberFormat="1" applyFont="1" applyFill="1" applyBorder="1" applyAlignment="1">
      <alignment horizontal="center" vertical="center"/>
    </xf>
    <xf numFmtId="166" fontId="61" fillId="70" borderId="423" xfId="1" applyFont="1" applyFill="1" applyBorder="1" applyAlignment="1">
      <alignment horizontal="center" vertical="center"/>
    </xf>
    <xf numFmtId="165" fontId="61" fillId="16" borderId="25" xfId="3" applyFont="1" applyFill="1" applyBorder="1" applyAlignment="1">
      <alignment horizontal="center" vertical="center"/>
    </xf>
    <xf numFmtId="165" fontId="61" fillId="71" borderId="25" xfId="3" applyFont="1" applyFill="1" applyBorder="1" applyAlignment="1">
      <alignment horizontal="center" vertical="center"/>
    </xf>
    <xf numFmtId="165" fontId="61" fillId="14" borderId="13" xfId="3" applyFont="1" applyFill="1" applyBorder="1" applyAlignment="1">
      <alignment horizontal="center" vertical="center"/>
    </xf>
    <xf numFmtId="165" fontId="61" fillId="26" borderId="13" xfId="3" applyFont="1" applyFill="1" applyBorder="1" applyAlignment="1">
      <alignment horizontal="center" vertical="center"/>
    </xf>
    <xf numFmtId="165" fontId="61" fillId="70" borderId="423" xfId="3" applyFont="1" applyFill="1" applyBorder="1" applyAlignment="1">
      <alignment horizontal="center" vertical="center"/>
    </xf>
    <xf numFmtId="166" fontId="63" fillId="70" borderId="421" xfId="1" applyFont="1" applyFill="1" applyBorder="1" applyAlignment="1">
      <alignment vertical="center"/>
    </xf>
    <xf numFmtId="166" fontId="63" fillId="26" borderId="423" xfId="1" applyFont="1" applyFill="1" applyBorder="1" applyAlignment="1">
      <alignment vertical="center"/>
    </xf>
    <xf numFmtId="0" fontId="30" fillId="70" borderId="42" xfId="0" applyFont="1" applyFill="1" applyBorder="1" applyAlignment="1">
      <alignment horizontal="center" vertical="center"/>
    </xf>
    <xf numFmtId="0" fontId="61" fillId="70" borderId="19" xfId="0" applyFont="1" applyFill="1" applyBorder="1" applyAlignment="1">
      <alignment vertical="center"/>
    </xf>
    <xf numFmtId="171" fontId="24" fillId="117" borderId="8" xfId="0" applyNumberFormat="1" applyFont="1" applyFill="1" applyBorder="1" applyAlignment="1">
      <alignment horizontal="center"/>
    </xf>
    <xf numFmtId="2" fontId="61" fillId="28" borderId="421" xfId="0" applyNumberFormat="1" applyFont="1" applyFill="1" applyBorder="1" applyAlignment="1">
      <alignment horizontal="center"/>
    </xf>
    <xf numFmtId="2" fontId="61" fillId="28" borderId="45" xfId="0" applyNumberFormat="1" applyFont="1" applyFill="1" applyBorder="1" applyAlignment="1">
      <alignment horizontal="center"/>
    </xf>
    <xf numFmtId="2" fontId="61" fillId="28" borderId="47" xfId="0" applyNumberFormat="1" applyFont="1" applyFill="1" applyBorder="1" applyAlignment="1">
      <alignment horizontal="center"/>
    </xf>
    <xf numFmtId="2" fontId="61" fillId="28" borderId="48" xfId="0" applyNumberFormat="1" applyFont="1" applyFill="1" applyBorder="1" applyAlignment="1">
      <alignment horizontal="center"/>
    </xf>
    <xf numFmtId="0" fontId="63" fillId="0" borderId="432" xfId="0" applyFont="1" applyBorder="1" applyAlignment="1">
      <alignment horizontal="left" vertical="center" wrapText="1"/>
    </xf>
    <xf numFmtId="2" fontId="63" fillId="70" borderId="0" xfId="0" applyNumberFormat="1" applyFont="1" applyFill="1" applyBorder="1" applyAlignment="1">
      <alignment horizontal="center" vertical="center"/>
    </xf>
    <xf numFmtId="2" fontId="61" fillId="70" borderId="432" xfId="0" applyNumberFormat="1" applyFont="1" applyFill="1" applyBorder="1" applyAlignment="1">
      <alignment horizontal="center" vertical="center"/>
    </xf>
    <xf numFmtId="2" fontId="61" fillId="70" borderId="427" xfId="0" applyNumberFormat="1" applyFont="1" applyFill="1" applyBorder="1" applyAlignment="1">
      <alignment horizontal="center" vertical="center"/>
    </xf>
    <xf numFmtId="0" fontId="204" fillId="15" borderId="35" xfId="0" applyFont="1" applyFill="1" applyBorder="1" applyAlignment="1">
      <alignment horizontal="center" vertical="center" wrapText="1"/>
    </xf>
    <xf numFmtId="0" fontId="204" fillId="15" borderId="30" xfId="0" applyFont="1" applyFill="1" applyBorder="1" applyAlignment="1">
      <alignment horizontal="center" vertical="center" wrapText="1"/>
    </xf>
    <xf numFmtId="171" fontId="204" fillId="15" borderId="37" xfId="0" applyNumberFormat="1" applyFont="1" applyFill="1" applyBorder="1" applyAlignment="1">
      <alignment horizontal="center"/>
    </xf>
    <xf numFmtId="1" fontId="153" fillId="0" borderId="37" xfId="0" applyNumberFormat="1" applyFont="1" applyFill="1" applyBorder="1" applyAlignment="1">
      <alignment horizontal="center"/>
    </xf>
    <xf numFmtId="1" fontId="153" fillId="0" borderId="7" xfId="0" applyNumberFormat="1" applyFont="1" applyFill="1" applyBorder="1" applyAlignment="1">
      <alignment horizontal="center"/>
    </xf>
    <xf numFmtId="171" fontId="153" fillId="0" borderId="37" xfId="0" applyNumberFormat="1" applyFont="1" applyFill="1" applyBorder="1"/>
    <xf numFmtId="171" fontId="153" fillId="0" borderId="7" xfId="0" applyNumberFormat="1" applyFont="1" applyFill="1" applyBorder="1"/>
    <xf numFmtId="0" fontId="11" fillId="28" borderId="33" xfId="0" applyFont="1" applyFill="1" applyBorder="1" applyAlignment="1">
      <alignment horizontal="center" vertical="center" wrapText="1"/>
    </xf>
    <xf numFmtId="0" fontId="11" fillId="28" borderId="9" xfId="0" applyFont="1" applyFill="1" applyBorder="1" applyAlignment="1">
      <alignment horizontal="center" vertical="center" wrapText="1"/>
    </xf>
    <xf numFmtId="0" fontId="204" fillId="0" borderId="29" xfId="0" applyFont="1" applyFill="1" applyBorder="1" applyAlignment="1">
      <alignment horizontal="center" vertical="center" wrapText="1"/>
    </xf>
    <xf numFmtId="171" fontId="204" fillId="0" borderId="0" xfId="0" applyNumberFormat="1" applyFont="1" applyFill="1" applyBorder="1" applyAlignment="1">
      <alignment horizontal="center"/>
    </xf>
    <xf numFmtId="0" fontId="11" fillId="0" borderId="0"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37" xfId="0" applyFont="1" applyFill="1" applyBorder="1"/>
    <xf numFmtId="0" fontId="207" fillId="4" borderId="37" xfId="0" applyFont="1" applyFill="1" applyBorder="1"/>
    <xf numFmtId="0" fontId="153" fillId="4" borderId="37" xfId="0" applyFont="1" applyFill="1" applyBorder="1"/>
    <xf numFmtId="171" fontId="204" fillId="15" borderId="6" xfId="0" applyNumberFormat="1" applyFont="1" applyFill="1" applyBorder="1" applyAlignment="1">
      <alignment horizontal="center"/>
    </xf>
    <xf numFmtId="0" fontId="204" fillId="15" borderId="41" xfId="0" applyFont="1" applyFill="1" applyBorder="1" applyAlignment="1">
      <alignment horizontal="center" vertical="center" wrapText="1"/>
    </xf>
    <xf numFmtId="1" fontId="153" fillId="0" borderId="6" xfId="0" applyNumberFormat="1" applyFont="1" applyFill="1" applyBorder="1" applyAlignment="1">
      <alignment horizontal="center"/>
    </xf>
    <xf numFmtId="171" fontId="153" fillId="0" borderId="6" xfId="0" applyNumberFormat="1" applyFont="1" applyFill="1" applyBorder="1"/>
    <xf numFmtId="171" fontId="7" fillId="28" borderId="6" xfId="0" applyNumberFormat="1" applyFont="1" applyFill="1" applyBorder="1"/>
    <xf numFmtId="171" fontId="7" fillId="0" borderId="6" xfId="0" applyNumberFormat="1" applyFont="1" applyFill="1" applyBorder="1"/>
    <xf numFmtId="0" fontId="11" fillId="28" borderId="8" xfId="0" applyFont="1" applyFill="1" applyBorder="1" applyAlignment="1">
      <alignment horizontal="center" vertical="center" wrapText="1"/>
    </xf>
    <xf numFmtId="2" fontId="19" fillId="28" borderId="37" xfId="0" applyNumberFormat="1" applyFont="1" applyFill="1" applyBorder="1" applyAlignment="1">
      <alignment horizontal="center" vertical="center"/>
    </xf>
    <xf numFmtId="2" fontId="19" fillId="28" borderId="0" xfId="0" applyNumberFormat="1" applyFont="1" applyFill="1" applyBorder="1" applyAlignment="1">
      <alignment horizontal="center" vertical="center"/>
    </xf>
    <xf numFmtId="2" fontId="19" fillId="28" borderId="7" xfId="0" applyNumberFormat="1" applyFont="1" applyFill="1" applyBorder="1" applyAlignment="1">
      <alignment horizontal="center" vertical="center"/>
    </xf>
    <xf numFmtId="2" fontId="19" fillId="0" borderId="37" xfId="0" applyNumberFormat="1" applyFont="1" applyFill="1" applyBorder="1" applyAlignment="1">
      <alignment horizontal="center" vertical="center"/>
    </xf>
    <xf numFmtId="2" fontId="19" fillId="0" borderId="0" xfId="0" applyNumberFormat="1" applyFont="1" applyFill="1" applyBorder="1" applyAlignment="1">
      <alignment horizontal="center" vertical="center"/>
    </xf>
    <xf numFmtId="2" fontId="19" fillId="0" borderId="7" xfId="0" applyNumberFormat="1" applyFont="1" applyFill="1" applyBorder="1" applyAlignment="1">
      <alignment horizontal="center" vertical="center"/>
    </xf>
    <xf numFmtId="0" fontId="11" fillId="28" borderId="253" xfId="0" applyFont="1" applyFill="1" applyBorder="1" applyAlignment="1">
      <alignment horizontal="center" vertical="center" wrapText="1"/>
    </xf>
    <xf numFmtId="0" fontId="201" fillId="0" borderId="0" xfId="0" applyFont="1" applyAlignment="1">
      <alignment vertical="top" wrapText="1"/>
    </xf>
    <xf numFmtId="0" fontId="12" fillId="17" borderId="0" xfId="0" applyFont="1" applyFill="1" applyBorder="1"/>
    <xf numFmtId="0" fontId="159" fillId="4" borderId="23" xfId="0" applyFont="1" applyFill="1" applyBorder="1"/>
    <xf numFmtId="0" fontId="303" fillId="15" borderId="0" xfId="0" applyFont="1" applyFill="1" applyBorder="1" applyAlignment="1">
      <alignment horizontal="right"/>
    </xf>
    <xf numFmtId="171" fontId="159" fillId="4" borderId="37" xfId="0" applyNumberFormat="1" applyFont="1" applyFill="1" applyBorder="1" applyAlignment="1">
      <alignment horizontal="center"/>
    </xf>
    <xf numFmtId="171" fontId="159" fillId="4" borderId="0" xfId="0" applyNumberFormat="1" applyFont="1" applyFill="1" applyBorder="1" applyAlignment="1">
      <alignment horizontal="center"/>
    </xf>
    <xf numFmtId="171" fontId="159" fillId="4" borderId="7" xfId="0" applyNumberFormat="1" applyFont="1" applyFill="1" applyBorder="1" applyAlignment="1">
      <alignment horizontal="center"/>
    </xf>
    <xf numFmtId="171" fontId="304" fillId="2" borderId="37" xfId="0" applyNumberFormat="1" applyFont="1" applyFill="1" applyBorder="1" applyAlignment="1">
      <alignment horizontal="center"/>
    </xf>
    <xf numFmtId="171" fontId="304" fillId="2" borderId="0" xfId="0" applyNumberFormat="1" applyFont="1" applyFill="1" applyBorder="1" applyAlignment="1">
      <alignment horizontal="center"/>
    </xf>
    <xf numFmtId="171" fontId="304" fillId="2" borderId="7" xfId="0" applyNumberFormat="1" applyFont="1" applyFill="1" applyBorder="1" applyAlignment="1">
      <alignment horizontal="center"/>
    </xf>
    <xf numFmtId="171" fontId="305" fillId="4" borderId="37" xfId="0" applyNumberFormat="1" applyFont="1" applyFill="1" applyBorder="1" applyAlignment="1">
      <alignment horizontal="center"/>
    </xf>
    <xf numFmtId="171" fontId="305" fillId="4" borderId="0" xfId="0" applyNumberFormat="1" applyFont="1" applyFill="1" applyBorder="1" applyAlignment="1">
      <alignment horizontal="center"/>
    </xf>
    <xf numFmtId="171" fontId="305" fillId="4" borderId="7" xfId="0" applyNumberFormat="1" applyFont="1" applyFill="1" applyBorder="1" applyAlignment="1">
      <alignment horizontal="center"/>
    </xf>
    <xf numFmtId="171" fontId="159" fillId="15" borderId="37" xfId="0" applyNumberFormat="1" applyFont="1" applyFill="1" applyBorder="1" applyAlignment="1">
      <alignment horizontal="center"/>
    </xf>
    <xf numFmtId="171" fontId="159" fillId="15" borderId="0" xfId="0" applyNumberFormat="1" applyFont="1" applyFill="1" applyBorder="1" applyAlignment="1">
      <alignment horizontal="center"/>
    </xf>
    <xf numFmtId="171" fontId="159" fillId="15" borderId="7" xfId="0" applyNumberFormat="1" applyFont="1" applyFill="1" applyBorder="1" applyAlignment="1">
      <alignment horizontal="center"/>
    </xf>
    <xf numFmtId="171" fontId="306" fillId="2" borderId="37" xfId="0" applyNumberFormat="1" applyFont="1" applyFill="1" applyBorder="1" applyAlignment="1">
      <alignment horizontal="center"/>
    </xf>
    <xf numFmtId="171" fontId="306" fillId="2" borderId="0" xfId="0" applyNumberFormat="1" applyFont="1" applyFill="1" applyBorder="1" applyAlignment="1">
      <alignment horizontal="center"/>
    </xf>
    <xf numFmtId="171" fontId="307" fillId="4" borderId="64" xfId="0" applyNumberFormat="1" applyFont="1" applyFill="1" applyBorder="1" applyAlignment="1">
      <alignment horizontal="center"/>
    </xf>
    <xf numFmtId="171" fontId="307" fillId="4" borderId="65" xfId="0" applyNumberFormat="1" applyFont="1" applyFill="1" applyBorder="1" applyAlignment="1">
      <alignment horizontal="center"/>
    </xf>
    <xf numFmtId="171" fontId="159" fillId="18" borderId="37" xfId="0" applyNumberFormat="1" applyFont="1" applyFill="1" applyBorder="1" applyAlignment="1">
      <alignment horizontal="center"/>
    </xf>
    <xf numFmtId="171" fontId="159" fillId="18" borderId="0" xfId="0" applyNumberFormat="1" applyFont="1" applyFill="1" applyBorder="1" applyAlignment="1">
      <alignment horizontal="center"/>
    </xf>
    <xf numFmtId="171" fontId="159" fillId="19" borderId="0" xfId="0" applyNumberFormat="1" applyFont="1" applyFill="1" applyBorder="1" applyAlignment="1">
      <alignment horizontal="center"/>
    </xf>
    <xf numFmtId="171" fontId="159" fillId="19" borderId="7" xfId="0" applyNumberFormat="1" applyFont="1" applyFill="1" applyBorder="1" applyAlignment="1">
      <alignment horizontal="center"/>
    </xf>
    <xf numFmtId="171" fontId="305" fillId="20" borderId="23" xfId="0" applyNumberFormat="1" applyFont="1" applyFill="1" applyBorder="1" applyAlignment="1">
      <alignment horizontal="center"/>
    </xf>
    <xf numFmtId="171" fontId="305" fillId="20" borderId="0" xfId="0" applyNumberFormat="1" applyFont="1" applyFill="1" applyBorder="1" applyAlignment="1">
      <alignment horizontal="center"/>
    </xf>
    <xf numFmtId="0" fontId="12" fillId="0" borderId="23" xfId="0" applyFont="1" applyBorder="1"/>
    <xf numFmtId="171" fontId="11" fillId="0" borderId="0" xfId="0" applyNumberFormat="1" applyFont="1" applyFill="1" applyBorder="1"/>
    <xf numFmtId="0" fontId="11" fillId="0" borderId="0" xfId="0" applyFont="1" applyFill="1" applyBorder="1"/>
    <xf numFmtId="0" fontId="11" fillId="0" borderId="23" xfId="0" applyFont="1" applyFill="1" applyBorder="1"/>
    <xf numFmtId="0" fontId="159" fillId="4" borderId="40" xfId="0" applyFont="1" applyFill="1" applyBorder="1"/>
    <xf numFmtId="171" fontId="7" fillId="0" borderId="433" xfId="0" applyNumberFormat="1" applyFont="1" applyFill="1" applyBorder="1"/>
    <xf numFmtId="171" fontId="7" fillId="0" borderId="429" xfId="0" applyNumberFormat="1" applyFont="1" applyFill="1" applyBorder="1"/>
    <xf numFmtId="171" fontId="153" fillId="28" borderId="429" xfId="0" applyNumberFormat="1" applyFont="1" applyFill="1" applyBorder="1"/>
    <xf numFmtId="171" fontId="7" fillId="70" borderId="435" xfId="0" applyNumberFormat="1" applyFont="1" applyFill="1" applyBorder="1"/>
    <xf numFmtId="171" fontId="7" fillId="70" borderId="63" xfId="0" applyNumberFormat="1" applyFont="1" applyFill="1" applyBorder="1"/>
    <xf numFmtId="171" fontId="7" fillId="0" borderId="434" xfId="0" applyNumberFormat="1" applyFont="1" applyFill="1" applyBorder="1"/>
    <xf numFmtId="171" fontId="7" fillId="0" borderId="427" xfId="0" applyNumberFormat="1" applyFont="1" applyFill="1" applyBorder="1"/>
    <xf numFmtId="171" fontId="153" fillId="3" borderId="427" xfId="0" applyNumberFormat="1" applyFont="1" applyFill="1" applyBorder="1"/>
    <xf numFmtId="171" fontId="7" fillId="117" borderId="431" xfId="0" applyNumberFormat="1" applyFont="1" applyFill="1" applyBorder="1"/>
    <xf numFmtId="171" fontId="153" fillId="0" borderId="423" xfId="0" applyNumberFormat="1" applyFont="1" applyFill="1" applyBorder="1"/>
    <xf numFmtId="171" fontId="153" fillId="0" borderId="432" xfId="0" applyNumberFormat="1" applyFont="1" applyFill="1" applyBorder="1"/>
    <xf numFmtId="171" fontId="153" fillId="3" borderId="432" xfId="0" applyNumberFormat="1" applyFont="1" applyFill="1" applyBorder="1"/>
    <xf numFmtId="171" fontId="153" fillId="70" borderId="424" xfId="0" applyNumberFormat="1" applyFont="1" applyFill="1" applyBorder="1"/>
    <xf numFmtId="0" fontId="203" fillId="0" borderId="433" xfId="0" applyFont="1" applyFill="1" applyBorder="1" applyAlignment="1">
      <alignment horizontal="center" vertical="center" wrapText="1"/>
    </xf>
    <xf numFmtId="0" fontId="203" fillId="0" borderId="429" xfId="0" applyFont="1" applyFill="1" applyBorder="1" applyAlignment="1">
      <alignment horizontal="center" vertical="center" wrapText="1"/>
    </xf>
    <xf numFmtId="0" fontId="203" fillId="3" borderId="429" xfId="0" applyFont="1" applyFill="1" applyBorder="1" applyAlignment="1">
      <alignment horizontal="center" vertical="center" wrapText="1"/>
    </xf>
    <xf numFmtId="0" fontId="203" fillId="70" borderId="435" xfId="0" applyFont="1" applyFill="1" applyBorder="1" applyAlignment="1">
      <alignment horizontal="center" vertical="center" wrapText="1"/>
    </xf>
    <xf numFmtId="0" fontId="5" fillId="70" borderId="63" xfId="0" applyFont="1" applyFill="1" applyBorder="1" applyAlignment="1">
      <alignment horizontal="center"/>
    </xf>
    <xf numFmtId="1" fontId="7" fillId="70" borderId="63" xfId="0" applyNumberFormat="1" applyFont="1" applyFill="1" applyBorder="1" applyAlignment="1">
      <alignment horizontal="center"/>
    </xf>
    <xf numFmtId="0" fontId="6" fillId="0" borderId="376" xfId="0" applyFont="1" applyFill="1" applyBorder="1" applyAlignment="1">
      <alignment horizontal="center" vertical="center" wrapText="1"/>
    </xf>
    <xf numFmtId="171" fontId="6" fillId="0" borderId="63" xfId="0" applyNumberFormat="1" applyFont="1" applyFill="1" applyBorder="1" applyAlignment="1">
      <alignment horizontal="center"/>
    </xf>
    <xf numFmtId="1" fontId="6" fillId="0" borderId="63" xfId="0" applyNumberFormat="1" applyFont="1" applyFill="1" applyBorder="1" applyAlignment="1">
      <alignment horizontal="center"/>
    </xf>
    <xf numFmtId="171" fontId="153" fillId="0" borderId="63" xfId="0" applyNumberFormat="1" applyFont="1" applyFill="1" applyBorder="1"/>
    <xf numFmtId="171" fontId="7" fillId="0" borderId="63" xfId="0" applyNumberFormat="1" applyFont="1" applyFill="1" applyBorder="1"/>
    <xf numFmtId="0" fontId="11" fillId="0" borderId="361" xfId="0" applyFont="1" applyFill="1" applyBorder="1"/>
    <xf numFmtId="171" fontId="11" fillId="3" borderId="423" xfId="0" applyNumberFormat="1" applyFont="1" applyFill="1" applyBorder="1" applyAlignment="1">
      <alignment horizontal="center" vertical="center"/>
    </xf>
    <xf numFmtId="3" fontId="308" fillId="26" borderId="423" xfId="0" applyNumberFormat="1" applyFont="1" applyFill="1" applyBorder="1" applyAlignment="1">
      <alignment horizontal="center" vertical="center" wrapText="1"/>
    </xf>
    <xf numFmtId="3" fontId="308" fillId="70" borderId="421" xfId="0" applyNumberFormat="1" applyFont="1" applyFill="1" applyBorder="1" applyAlignment="1">
      <alignment horizontal="center" vertical="center" wrapText="1"/>
    </xf>
    <xf numFmtId="165" fontId="63" fillId="70" borderId="0" xfId="3" applyNumberFormat="1" applyFont="1" applyFill="1" applyBorder="1" applyAlignment="1">
      <alignment horizontal="center" vertical="center"/>
    </xf>
    <xf numFmtId="165" fontId="61" fillId="70" borderId="432" xfId="3" applyNumberFormat="1" applyFont="1" applyFill="1" applyBorder="1" applyAlignment="1">
      <alignment horizontal="center" vertical="center"/>
    </xf>
    <xf numFmtId="165" fontId="61" fillId="70" borderId="261" xfId="3" applyNumberFormat="1" applyFont="1" applyFill="1" applyBorder="1" applyAlignment="1">
      <alignment horizontal="center" vertical="center"/>
    </xf>
    <xf numFmtId="0" fontId="126" fillId="23" borderId="6" xfId="0" applyFont="1" applyFill="1" applyBorder="1" applyAlignment="1">
      <alignment horizontal="center" vertical="top" wrapText="1"/>
    </xf>
    <xf numFmtId="0" fontId="30" fillId="70" borderId="427" xfId="0" applyFont="1" applyFill="1" applyBorder="1" applyAlignment="1">
      <alignment horizontal="center" vertical="center"/>
    </xf>
    <xf numFmtId="168" fontId="61" fillId="70" borderId="432" xfId="1" applyNumberFormat="1" applyFont="1" applyFill="1" applyBorder="1" applyAlignment="1">
      <alignment horizontal="center" vertical="center"/>
    </xf>
    <xf numFmtId="9" fontId="30" fillId="70" borderId="427" xfId="2" applyFont="1" applyFill="1" applyBorder="1" applyAlignment="1">
      <alignment horizontal="right" vertical="center"/>
    </xf>
    <xf numFmtId="168" fontId="99" fillId="70" borderId="432" xfId="1" applyNumberFormat="1" applyFont="1" applyFill="1" applyBorder="1" applyAlignment="1">
      <alignment horizontal="center" vertical="center"/>
    </xf>
    <xf numFmtId="168" fontId="73" fillId="70" borderId="432" xfId="1" applyNumberFormat="1" applyFont="1" applyFill="1" applyBorder="1" applyAlignment="1">
      <alignment horizontal="center" vertical="center"/>
    </xf>
    <xf numFmtId="168" fontId="61" fillId="70" borderId="57" xfId="1" applyNumberFormat="1" applyFont="1" applyFill="1" applyBorder="1" applyAlignment="1">
      <alignment horizontal="center" vertical="center"/>
    </xf>
    <xf numFmtId="9" fontId="61" fillId="70" borderId="0" xfId="2" applyFont="1" applyFill="1" applyBorder="1" applyAlignment="1">
      <alignment horizontal="center" vertical="center"/>
    </xf>
    <xf numFmtId="10" fontId="61" fillId="70" borderId="432" xfId="2" applyNumberFormat="1" applyFont="1" applyFill="1" applyBorder="1" applyAlignment="1">
      <alignment horizontal="center" vertical="center"/>
    </xf>
    <xf numFmtId="0" fontId="11" fillId="0" borderId="0" xfId="0" applyFont="1" applyFill="1" applyAlignment="1">
      <alignment vertical="center" wrapText="1"/>
    </xf>
    <xf numFmtId="168" fontId="63" fillId="70" borderId="432" xfId="1" applyNumberFormat="1" applyFont="1" applyFill="1" applyBorder="1" applyAlignment="1">
      <alignment horizontal="center" vertical="center"/>
    </xf>
    <xf numFmtId="9" fontId="61" fillId="70" borderId="432" xfId="2" applyFont="1" applyFill="1" applyBorder="1" applyAlignment="1">
      <alignment horizontal="center" vertical="center"/>
    </xf>
    <xf numFmtId="0" fontId="61" fillId="0" borderId="0" xfId="0" applyFont="1" applyFill="1" applyAlignment="1">
      <alignment horizontal="center" vertical="center" wrapText="1"/>
    </xf>
    <xf numFmtId="0" fontId="0" fillId="0" borderId="0" xfId="0" applyAlignment="1">
      <alignment horizontal="center"/>
    </xf>
    <xf numFmtId="0" fontId="26" fillId="0" borderId="0" xfId="0" applyFont="1" applyAlignment="1">
      <alignment horizontal="center"/>
    </xf>
    <xf numFmtId="0" fontId="5" fillId="0" borderId="37" xfId="0" applyFont="1" applyFill="1" applyBorder="1" applyAlignment="1">
      <alignment horizontal="center" vertical="center"/>
    </xf>
    <xf numFmtId="0" fontId="26" fillId="0" borderId="11" xfId="0" applyFont="1" applyFill="1" applyBorder="1" applyAlignment="1">
      <alignment horizontal="center"/>
    </xf>
    <xf numFmtId="0" fontId="26" fillId="0" borderId="0" xfId="0" applyFont="1" applyFill="1" applyBorder="1" applyAlignment="1">
      <alignment horizontal="center" vertical="center" wrapText="1"/>
    </xf>
    <xf numFmtId="0" fontId="152" fillId="136" borderId="40" xfId="0" applyFont="1" applyFill="1" applyBorder="1"/>
    <xf numFmtId="2" fontId="46" fillId="28" borderId="315" xfId="0" applyNumberFormat="1" applyFont="1" applyFill="1" applyBorder="1" applyAlignment="1">
      <alignment horizontal="center"/>
    </xf>
    <xf numFmtId="2" fontId="30" fillId="28" borderId="42" xfId="0" applyNumberFormat="1" applyFont="1" applyFill="1" applyBorder="1" applyAlignment="1">
      <alignment horizontal="center" vertical="center"/>
    </xf>
    <xf numFmtId="0" fontId="5" fillId="0" borderId="0" xfId="0" applyFont="1" applyAlignment="1">
      <alignment horizontal="left" vertical="center" wrapText="1"/>
    </xf>
    <xf numFmtId="168" fontId="206" fillId="117" borderId="436" xfId="1" applyNumberFormat="1" applyFont="1" applyFill="1" applyBorder="1" applyAlignment="1">
      <alignment horizontal="center" vertical="center"/>
    </xf>
    <xf numFmtId="0" fontId="16" fillId="0" borderId="437" xfId="0" applyFont="1" applyFill="1" applyBorder="1" applyAlignment="1">
      <alignment horizontal="center" vertical="center"/>
    </xf>
    <xf numFmtId="0" fontId="16" fillId="0" borderId="438" xfId="0" applyFont="1" applyFill="1" applyBorder="1" applyAlignment="1">
      <alignment horizontal="center" vertical="center"/>
    </xf>
    <xf numFmtId="0" fontId="206" fillId="0" borderId="438" xfId="0" applyFont="1" applyFill="1" applyBorder="1" applyAlignment="1">
      <alignment horizontal="center" vertical="center"/>
    </xf>
    <xf numFmtId="0" fontId="206" fillId="0" borderId="439" xfId="0" applyFont="1" applyFill="1" applyBorder="1" applyAlignment="1">
      <alignment horizontal="center" vertical="center"/>
    </xf>
    <xf numFmtId="0" fontId="7" fillId="124" borderId="40" xfId="0" applyFont="1" applyFill="1" applyBorder="1" applyAlignment="1">
      <alignment horizontal="center" vertical="center"/>
    </xf>
    <xf numFmtId="1" fontId="5" fillId="0" borderId="49" xfId="0" applyNumberFormat="1" applyFont="1" applyBorder="1" applyAlignment="1">
      <alignment horizontal="center" vertical="center"/>
    </xf>
    <xf numFmtId="168" fontId="5" fillId="0" borderId="50" xfId="0" applyNumberFormat="1" applyFont="1" applyBorder="1" applyAlignment="1">
      <alignment horizontal="center" vertical="center"/>
    </xf>
    <xf numFmtId="0" fontId="17" fillId="123" borderId="421" xfId="0" applyFont="1" applyFill="1" applyBorder="1" applyAlignment="1">
      <alignment horizontal="right" vertical="center" wrapText="1"/>
    </xf>
    <xf numFmtId="168" fontId="5" fillId="26" borderId="421" xfId="0" applyNumberFormat="1" applyFont="1" applyFill="1" applyBorder="1" applyAlignment="1">
      <alignment horizontal="right" vertical="center" wrapText="1"/>
    </xf>
    <xf numFmtId="168" fontId="7" fillId="26" borderId="421" xfId="0" applyNumberFormat="1" applyFont="1" applyFill="1" applyBorder="1" applyAlignment="1">
      <alignment horizontal="right" vertical="center" wrapText="1"/>
    </xf>
    <xf numFmtId="168" fontId="17" fillId="123" borderId="421" xfId="0" applyNumberFormat="1" applyFont="1" applyFill="1" applyBorder="1" applyAlignment="1">
      <alignment horizontal="center" vertical="center" wrapText="1"/>
    </xf>
    <xf numFmtId="10" fontId="12" fillId="0" borderId="0" xfId="2" applyNumberFormat="1" applyFont="1" applyFill="1"/>
    <xf numFmtId="0" fontId="10" fillId="124" borderId="318" xfId="0" applyFont="1" applyFill="1" applyBorder="1" applyAlignment="1">
      <alignment horizontal="center" vertical="top"/>
    </xf>
    <xf numFmtId="1" fontId="28" fillId="13" borderId="5" xfId="0" applyNumberFormat="1" applyFont="1" applyFill="1" applyBorder="1" applyAlignment="1">
      <alignment horizontal="center" vertical="center"/>
    </xf>
    <xf numFmtId="0" fontId="128" fillId="13" borderId="256" xfId="0" applyFont="1" applyFill="1" applyBorder="1" applyAlignment="1">
      <alignment horizontal="center"/>
    </xf>
    <xf numFmtId="0" fontId="30" fillId="124" borderId="0" xfId="0" applyFont="1" applyFill="1" applyAlignment="1">
      <alignment horizontal="center"/>
    </xf>
    <xf numFmtId="0" fontId="61" fillId="26" borderId="0" xfId="0" applyFont="1" applyFill="1" applyAlignment="1">
      <alignment horizontal="center"/>
    </xf>
    <xf numFmtId="0" fontId="176" fillId="0" borderId="421" xfId="0" applyFont="1" applyBorder="1" applyAlignment="1">
      <alignment horizontal="center" wrapText="1"/>
    </xf>
    <xf numFmtId="0" fontId="176" fillId="0" borderId="421" xfId="0" applyFont="1" applyBorder="1" applyAlignment="1">
      <alignment horizontal="left"/>
    </xf>
    <xf numFmtId="168" fontId="17" fillId="26" borderId="421" xfId="1" applyNumberFormat="1" applyFont="1" applyFill="1" applyBorder="1"/>
    <xf numFmtId="168" fontId="5" fillId="16" borderId="421" xfId="1" applyNumberFormat="1" applyFont="1" applyFill="1" applyBorder="1"/>
    <xf numFmtId="168" fontId="5" fillId="26" borderId="421" xfId="1" applyNumberFormat="1" applyFont="1" applyFill="1" applyBorder="1"/>
    <xf numFmtId="168" fontId="17" fillId="13" borderId="421" xfId="1" applyNumberFormat="1" applyFont="1" applyFill="1" applyBorder="1"/>
    <xf numFmtId="0" fontId="17" fillId="0" borderId="0" xfId="1" applyNumberFormat="1" applyFont="1" applyFill="1" applyAlignment="1">
      <alignment horizontal="center"/>
    </xf>
    <xf numFmtId="168" fontId="5" fillId="0" borderId="0" xfId="1" applyNumberFormat="1" applyFont="1" applyFill="1"/>
    <xf numFmtId="168" fontId="17" fillId="0" borderId="13" xfId="1" applyNumberFormat="1" applyFont="1" applyFill="1" applyBorder="1"/>
    <xf numFmtId="168" fontId="5" fillId="0" borderId="13" xfId="1" applyNumberFormat="1" applyFont="1" applyFill="1" applyBorder="1"/>
    <xf numFmtId="0" fontId="176" fillId="0" borderId="13" xfId="0" applyFont="1" applyFill="1" applyBorder="1" applyAlignment="1">
      <alignment horizontal="center" wrapText="1"/>
    </xf>
    <xf numFmtId="9" fontId="10" fillId="0" borderId="0" xfId="2" applyFont="1" applyFill="1" applyAlignment="1">
      <alignment wrapText="1"/>
    </xf>
    <xf numFmtId="0" fontId="61" fillId="0" borderId="33" xfId="0" applyFont="1" applyBorder="1" applyAlignment="1">
      <alignment horizontal="right"/>
    </xf>
    <xf numFmtId="0" fontId="61" fillId="0" borderId="0" xfId="0" applyFont="1" applyAlignment="1">
      <alignment horizontal="right"/>
    </xf>
    <xf numFmtId="0" fontId="30" fillId="0" borderId="0" xfId="0" applyFont="1"/>
    <xf numFmtId="0" fontId="11" fillId="0" borderId="0" xfId="0" applyFont="1" applyBorder="1" applyAlignment="1">
      <alignment horizontal="center" wrapText="1"/>
    </xf>
    <xf numFmtId="0" fontId="61" fillId="0" borderId="33" xfId="0" applyFont="1" applyFill="1" applyBorder="1" applyAlignment="1">
      <alignment horizontal="center"/>
    </xf>
    <xf numFmtId="166" fontId="61" fillId="0" borderId="0" xfId="1" applyFont="1" applyFill="1"/>
    <xf numFmtId="0" fontId="26" fillId="0" borderId="39" xfId="0" applyFont="1" applyBorder="1" applyAlignment="1">
      <alignment horizontal="center" vertical="center" wrapText="1"/>
    </xf>
    <xf numFmtId="0" fontId="26" fillId="0" borderId="38" xfId="0" applyFont="1" applyBorder="1" applyAlignment="1">
      <alignment horizontal="center" vertical="center" wrapText="1"/>
    </xf>
    <xf numFmtId="0" fontId="0" fillId="0" borderId="424" xfId="0" applyBorder="1" applyAlignment="1">
      <alignment wrapText="1"/>
    </xf>
    <xf numFmtId="168" fontId="0" fillId="0" borderId="424" xfId="1" applyNumberFormat="1" applyFont="1" applyFill="1" applyBorder="1" applyAlignment="1">
      <alignment wrapText="1"/>
    </xf>
    <xf numFmtId="0" fontId="7" fillId="107" borderId="37" xfId="0" applyFont="1" applyFill="1" applyBorder="1" applyAlignment="1">
      <alignment wrapText="1"/>
    </xf>
    <xf numFmtId="3" fontId="5" fillId="107" borderId="0" xfId="0" applyNumberFormat="1" applyFont="1" applyFill="1" applyAlignment="1">
      <alignment wrapText="1"/>
    </xf>
    <xf numFmtId="0" fontId="7" fillId="0" borderId="37" xfId="0" applyFont="1" applyBorder="1" applyAlignment="1">
      <alignment wrapText="1"/>
    </xf>
    <xf numFmtId="0" fontId="7" fillId="14" borderId="40" xfId="0" applyFont="1" applyFill="1" applyBorder="1" applyAlignment="1">
      <alignment wrapText="1"/>
    </xf>
    <xf numFmtId="0" fontId="5" fillId="27" borderId="0" xfId="0" applyFont="1" applyFill="1" applyAlignment="1">
      <alignment wrapText="1"/>
    </xf>
    <xf numFmtId="0" fontId="219" fillId="0" borderId="435" xfId="0" applyFont="1" applyBorder="1" applyAlignment="1">
      <alignment wrapText="1"/>
    </xf>
    <xf numFmtId="3" fontId="0" fillId="0" borderId="420" xfId="0" applyNumberFormat="1" applyBorder="1" applyAlignment="1">
      <alignment wrapText="1"/>
    </xf>
    <xf numFmtId="3" fontId="0" fillId="0" borderId="433" xfId="0" applyNumberFormat="1" applyBorder="1" applyAlignment="1">
      <alignment wrapText="1"/>
    </xf>
    <xf numFmtId="0" fontId="0" fillId="0" borderId="0" xfId="0" applyFill="1" applyAlignment="1">
      <alignment wrapText="1"/>
    </xf>
    <xf numFmtId="0" fontId="0" fillId="0" borderId="0" xfId="0" applyFill="1" applyAlignment="1">
      <alignment horizontal="center" wrapText="1"/>
    </xf>
    <xf numFmtId="0" fontId="17" fillId="0" borderId="35" xfId="0" applyFont="1" applyFill="1" applyBorder="1" applyAlignment="1">
      <alignment horizontal="center" vertical="center" wrapText="1"/>
    </xf>
    <xf numFmtId="0" fontId="5" fillId="0" borderId="37" xfId="0" applyFont="1" applyFill="1" applyBorder="1" applyAlignment="1">
      <alignment wrapText="1"/>
    </xf>
    <xf numFmtId="0" fontId="5" fillId="0" borderId="0" xfId="0" applyFont="1" applyFill="1" applyBorder="1" applyAlignment="1">
      <alignment wrapText="1"/>
    </xf>
    <xf numFmtId="0" fontId="5" fillId="0" borderId="23" xfId="0" applyFont="1" applyFill="1" applyBorder="1" applyAlignment="1">
      <alignment wrapText="1"/>
    </xf>
    <xf numFmtId="0" fontId="5" fillId="0" borderId="7" xfId="0" applyFont="1" applyFill="1" applyBorder="1" applyAlignment="1">
      <alignment wrapText="1"/>
    </xf>
    <xf numFmtId="3" fontId="5" fillId="0" borderId="0" xfId="0" applyNumberFormat="1" applyFont="1" applyFill="1" applyBorder="1" applyAlignment="1">
      <alignment wrapText="1"/>
    </xf>
    <xf numFmtId="9" fontId="28" fillId="0" borderId="0" xfId="2" applyFont="1" applyFill="1" applyBorder="1" applyAlignment="1">
      <alignment horizontal="center" vertical="center" wrapText="1"/>
    </xf>
    <xf numFmtId="3" fontId="5" fillId="0" borderId="23" xfId="0" applyNumberFormat="1" applyFont="1" applyFill="1" applyBorder="1" applyAlignment="1">
      <alignment wrapText="1"/>
    </xf>
    <xf numFmtId="9" fontId="28" fillId="0" borderId="7" xfId="2" applyFont="1" applyFill="1" applyBorder="1" applyAlignment="1">
      <alignment horizontal="center" vertical="center" wrapText="1"/>
    </xf>
    <xf numFmtId="0" fontId="5" fillId="0" borderId="40" xfId="0" applyFont="1" applyFill="1" applyBorder="1" applyAlignment="1">
      <alignment wrapText="1"/>
    </xf>
    <xf numFmtId="3" fontId="5" fillId="0" borderId="33" xfId="0" applyNumberFormat="1" applyFont="1" applyFill="1" applyBorder="1" applyAlignment="1">
      <alignment wrapText="1"/>
    </xf>
    <xf numFmtId="9" fontId="28" fillId="0" borderId="33" xfId="2" applyFont="1" applyFill="1" applyBorder="1" applyAlignment="1">
      <alignment horizontal="center" vertical="center" wrapText="1"/>
    </xf>
    <xf numFmtId="3" fontId="5" fillId="0" borderId="253" xfId="0" applyNumberFormat="1" applyFont="1" applyFill="1" applyBorder="1" applyAlignment="1">
      <alignment wrapText="1"/>
    </xf>
    <xf numFmtId="9" fontId="28" fillId="0" borderId="9" xfId="2" applyFont="1" applyFill="1" applyBorder="1" applyAlignment="1">
      <alignment horizontal="center" vertical="center" wrapText="1"/>
    </xf>
    <xf numFmtId="0" fontId="0" fillId="0" borderId="29" xfId="0" applyFill="1" applyBorder="1" applyAlignment="1">
      <alignment wrapText="1"/>
    </xf>
    <xf numFmtId="0" fontId="0" fillId="0" borderId="30" xfId="0" applyFill="1" applyBorder="1" applyAlignment="1">
      <alignment wrapText="1"/>
    </xf>
    <xf numFmtId="0" fontId="17" fillId="0" borderId="37" xfId="0" applyFont="1" applyFill="1" applyBorder="1" applyAlignment="1">
      <alignment horizontal="center" vertical="center" wrapText="1"/>
    </xf>
    <xf numFmtId="9" fontId="28" fillId="0" borderId="0" xfId="2" applyNumberFormat="1" applyFont="1" applyFill="1" applyBorder="1" applyAlignment="1">
      <alignment horizontal="center" vertical="center" wrapText="1"/>
    </xf>
    <xf numFmtId="1" fontId="5" fillId="0" borderId="0" xfId="0" applyNumberFormat="1" applyFont="1" applyFill="1" applyBorder="1" applyAlignment="1">
      <alignment wrapText="1"/>
    </xf>
    <xf numFmtId="0" fontId="26" fillId="0" borderId="49"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83" xfId="0" applyFont="1" applyBorder="1" applyAlignment="1">
      <alignment horizontal="center" vertical="center" wrapText="1"/>
    </xf>
    <xf numFmtId="168" fontId="30" fillId="0" borderId="49" xfId="14" applyNumberFormat="1" applyFont="1" applyFill="1" applyBorder="1" applyAlignment="1">
      <alignment horizontal="center" vertical="center" wrapText="1"/>
    </xf>
    <xf numFmtId="168" fontId="30" fillId="0" borderId="50" xfId="14" applyNumberFormat="1" applyFont="1" applyFill="1" applyBorder="1" applyAlignment="1">
      <alignment horizontal="center" vertical="center" wrapText="1"/>
    </xf>
    <xf numFmtId="168" fontId="30" fillId="7" borderId="50" xfId="14" applyNumberFormat="1" applyFont="1" applyFill="1" applyBorder="1" applyAlignment="1">
      <alignment horizontal="center" vertical="center" wrapText="1"/>
    </xf>
    <xf numFmtId="0" fontId="61" fillId="0" borderId="51" xfId="0" applyFont="1" applyBorder="1" applyAlignment="1">
      <alignment horizontal="center" vertical="center" wrapText="1"/>
    </xf>
    <xf numFmtId="0" fontId="231" fillId="14" borderId="0" xfId="0" applyFont="1" applyFill="1" applyAlignment="1">
      <alignment vertical="center" wrapText="1"/>
    </xf>
    <xf numFmtId="0" fontId="0" fillId="0" borderId="40" xfId="0" applyBorder="1" applyAlignment="1">
      <alignment vertical="center" wrapText="1"/>
    </xf>
    <xf numFmtId="0" fontId="0" fillId="0" borderId="33" xfId="0" applyBorder="1" applyAlignment="1">
      <alignment vertical="center" wrapText="1"/>
    </xf>
    <xf numFmtId="168" fontId="26" fillId="0" borderId="33" xfId="0" applyNumberFormat="1" applyFont="1"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168" fontId="26" fillId="0" borderId="421" xfId="1" applyNumberFormat="1" applyFont="1" applyFill="1" applyBorder="1" applyAlignment="1">
      <alignment horizontal="center" vertical="center" wrapText="1"/>
    </xf>
    <xf numFmtId="168" fontId="229" fillId="14" borderId="421" xfId="1" applyNumberFormat="1" applyFont="1" applyFill="1" applyBorder="1" applyAlignment="1">
      <alignment horizontal="center" vertical="center" wrapText="1"/>
    </xf>
    <xf numFmtId="0" fontId="26" fillId="0" borderId="44" xfId="0" applyFont="1" applyBorder="1" applyAlignment="1">
      <alignment horizontal="center" vertical="center" wrapText="1"/>
    </xf>
    <xf numFmtId="0" fontId="26" fillId="0" borderId="421"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83" xfId="0" applyFont="1" applyBorder="1" applyAlignment="1">
      <alignment vertical="center" wrapText="1"/>
    </xf>
    <xf numFmtId="168" fontId="26" fillId="0" borderId="83" xfId="0" applyNumberFormat="1" applyFont="1" applyBorder="1" applyAlignment="1">
      <alignment horizontal="center" vertical="center" wrapText="1"/>
    </xf>
    <xf numFmtId="0" fontId="20" fillId="0" borderId="43" xfId="0" applyFont="1" applyBorder="1" applyAlignment="1">
      <alignment horizontal="center" vertical="center" wrapText="1"/>
    </xf>
    <xf numFmtId="0" fontId="201" fillId="0" borderId="0" xfId="0" applyFont="1" applyFill="1" applyAlignment="1">
      <alignment vertical="center" wrapText="1"/>
    </xf>
    <xf numFmtId="0" fontId="310" fillId="0" borderId="49" xfId="0" applyFont="1" applyFill="1" applyBorder="1" applyAlignment="1">
      <alignment horizontal="center" vertical="center" wrapText="1"/>
    </xf>
    <xf numFmtId="0" fontId="310" fillId="0" borderId="50" xfId="0" applyFont="1" applyFill="1" applyBorder="1" applyAlignment="1">
      <alignment horizontal="center" vertical="center" wrapText="1"/>
    </xf>
    <xf numFmtId="0" fontId="201" fillId="0" borderId="83" xfId="0" applyFont="1" applyFill="1" applyBorder="1" applyAlignment="1">
      <alignment horizontal="center" vertical="center" wrapText="1"/>
    </xf>
    <xf numFmtId="168" fontId="201" fillId="0" borderId="20" xfId="14" applyNumberFormat="1" applyFont="1" applyFill="1" applyBorder="1" applyAlignment="1">
      <alignment horizontal="center" vertical="center" wrapText="1"/>
    </xf>
    <xf numFmtId="9" fontId="201" fillId="0" borderId="20" xfId="2" applyFont="1" applyFill="1" applyBorder="1" applyAlignment="1">
      <alignment horizontal="center" vertical="center" wrapText="1"/>
    </xf>
    <xf numFmtId="168" fontId="201" fillId="0" borderId="13" xfId="14" applyNumberFormat="1" applyFont="1" applyFill="1" applyBorder="1" applyAlignment="1">
      <alignment horizontal="center" vertical="center" wrapText="1"/>
    </xf>
    <xf numFmtId="9" fontId="201" fillId="0" borderId="13" xfId="2" applyFont="1" applyFill="1" applyBorder="1" applyAlignment="1">
      <alignment horizontal="center" vertical="center" wrapText="1"/>
    </xf>
    <xf numFmtId="168" fontId="201" fillId="0" borderId="17" xfId="14" applyNumberFormat="1" applyFont="1" applyFill="1" applyBorder="1" applyAlignment="1">
      <alignment horizontal="center" vertical="center" wrapText="1"/>
    </xf>
    <xf numFmtId="9" fontId="201" fillId="0" borderId="17" xfId="2" applyFont="1" applyFill="1" applyBorder="1" applyAlignment="1">
      <alignment horizontal="center" vertical="center" wrapText="1"/>
    </xf>
    <xf numFmtId="168" fontId="310" fillId="0" borderId="50" xfId="14" applyNumberFormat="1" applyFont="1" applyFill="1" applyBorder="1" applyAlignment="1">
      <alignment horizontal="center" vertical="center" wrapText="1"/>
    </xf>
    <xf numFmtId="168" fontId="310" fillId="7" borderId="50" xfId="14" applyNumberFormat="1" applyFont="1" applyFill="1" applyBorder="1" applyAlignment="1">
      <alignment horizontal="center" vertical="center" wrapText="1"/>
    </xf>
    <xf numFmtId="0" fontId="201" fillId="0" borderId="83" xfId="0" applyFont="1" applyFill="1" applyBorder="1" applyAlignment="1">
      <alignment vertical="center" wrapText="1"/>
    </xf>
    <xf numFmtId="0" fontId="311" fillId="14" borderId="0" xfId="0" applyFont="1" applyFill="1" applyBorder="1" applyAlignment="1">
      <alignment vertical="center" wrapText="1"/>
    </xf>
    <xf numFmtId="168" fontId="311" fillId="14" borderId="34" xfId="14" applyNumberFormat="1" applyFont="1" applyFill="1" applyBorder="1" applyAlignment="1">
      <alignment vertical="center" wrapText="1"/>
    </xf>
    <xf numFmtId="0" fontId="311" fillId="14" borderId="7" xfId="0" applyFont="1" applyFill="1" applyBorder="1" applyAlignment="1">
      <alignment vertical="center" wrapText="1"/>
    </xf>
    <xf numFmtId="0" fontId="201" fillId="0" borderId="33" xfId="0" applyFont="1" applyFill="1" applyBorder="1" applyAlignment="1">
      <alignment vertical="center" wrapText="1"/>
    </xf>
    <xf numFmtId="168" fontId="310" fillId="0" borderId="33" xfId="0" applyNumberFormat="1" applyFont="1" applyFill="1" applyBorder="1" applyAlignment="1">
      <alignment vertical="center" wrapText="1"/>
    </xf>
    <xf numFmtId="0" fontId="201" fillId="0" borderId="9" xfId="0" applyFont="1" applyFill="1" applyBorder="1" applyAlignment="1">
      <alignment vertical="center" wrapText="1"/>
    </xf>
    <xf numFmtId="168" fontId="201" fillId="0" borderId="13" xfId="1" applyNumberFormat="1" applyFont="1" applyFill="1" applyBorder="1" applyAlignment="1">
      <alignment horizontal="center" vertical="center" wrapText="1"/>
    </xf>
    <xf numFmtId="0" fontId="311" fillId="14" borderId="0" xfId="0" applyFont="1" applyFill="1" applyAlignment="1">
      <alignment horizontal="center" vertical="center" wrapText="1"/>
    </xf>
    <xf numFmtId="168" fontId="311" fillId="14" borderId="13" xfId="1" applyNumberFormat="1" applyFont="1" applyFill="1" applyBorder="1" applyAlignment="1">
      <alignment horizontal="center" vertical="center" wrapText="1"/>
    </xf>
    <xf numFmtId="0" fontId="201" fillId="0" borderId="29" xfId="0" applyFont="1" applyFill="1" applyBorder="1" applyAlignment="1">
      <alignment vertical="center" wrapText="1"/>
    </xf>
    <xf numFmtId="0" fontId="201" fillId="0" borderId="30" xfId="0" applyFont="1" applyFill="1" applyBorder="1" applyAlignment="1">
      <alignment vertical="center" wrapText="1"/>
    </xf>
    <xf numFmtId="0" fontId="201" fillId="0" borderId="0" xfId="0" applyFont="1" applyFill="1" applyBorder="1" applyAlignment="1">
      <alignment vertical="center" wrapText="1"/>
    </xf>
    <xf numFmtId="0" fontId="201" fillId="0" borderId="7" xfId="0" applyFont="1" applyFill="1" applyBorder="1" applyAlignment="1">
      <alignment vertical="center" wrapText="1"/>
    </xf>
    <xf numFmtId="0" fontId="310" fillId="0" borderId="13" xfId="0" applyFont="1" applyFill="1" applyBorder="1" applyAlignment="1">
      <alignment horizontal="center" vertical="center" wrapText="1"/>
    </xf>
    <xf numFmtId="0" fontId="310" fillId="0" borderId="24" xfId="0" applyFont="1" applyFill="1" applyBorder="1" applyAlignment="1">
      <alignment horizontal="center" vertical="center" wrapText="1"/>
    </xf>
    <xf numFmtId="0" fontId="310" fillId="0" borderId="43" xfId="0" applyFont="1" applyFill="1" applyBorder="1" applyAlignment="1">
      <alignment horizontal="center" vertical="center" wrapText="1"/>
    </xf>
    <xf numFmtId="168" fontId="244" fillId="0" borderId="13" xfId="1" applyNumberFormat="1" applyFont="1" applyFill="1" applyBorder="1" applyAlignment="1">
      <alignment horizontal="center" vertical="center" wrapText="1"/>
    </xf>
    <xf numFmtId="168" fontId="244" fillId="0" borderId="24" xfId="1" applyNumberFormat="1" applyFont="1" applyFill="1" applyBorder="1" applyAlignment="1">
      <alignment horizontal="center" vertical="center" wrapText="1"/>
    </xf>
    <xf numFmtId="9" fontId="244" fillId="0" borderId="45" xfId="2" applyFont="1" applyFill="1" applyBorder="1" applyAlignment="1">
      <alignment horizontal="center" vertical="center" wrapText="1"/>
    </xf>
    <xf numFmtId="168" fontId="244" fillId="0" borderId="17" xfId="1" applyNumberFormat="1" applyFont="1" applyFill="1" applyBorder="1" applyAlignment="1">
      <alignment horizontal="center" vertical="center" wrapText="1"/>
    </xf>
    <xf numFmtId="168" fontId="244" fillId="0" borderId="36" xfId="1" applyNumberFormat="1" applyFont="1" applyFill="1" applyBorder="1" applyAlignment="1">
      <alignment horizontal="center" vertical="center" wrapText="1"/>
    </xf>
    <xf numFmtId="9" fontId="244" fillId="0" borderId="318" xfId="2" applyFont="1" applyFill="1" applyBorder="1" applyAlignment="1">
      <alignment horizontal="center" vertical="center" wrapText="1"/>
    </xf>
    <xf numFmtId="168" fontId="310" fillId="0" borderId="49" xfId="1" applyNumberFormat="1" applyFont="1" applyFill="1" applyBorder="1" applyAlignment="1">
      <alignment horizontal="center" vertical="center" wrapText="1"/>
    </xf>
    <xf numFmtId="168" fontId="310" fillId="0" borderId="50" xfId="1" applyNumberFormat="1" applyFont="1" applyFill="1" applyBorder="1" applyAlignment="1">
      <alignment horizontal="center" vertical="center" wrapText="1"/>
    </xf>
    <xf numFmtId="168" fontId="310" fillId="7" borderId="87" xfId="1" applyNumberFormat="1" applyFont="1" applyFill="1" applyBorder="1" applyAlignment="1">
      <alignment horizontal="center" vertical="center" wrapText="1"/>
    </xf>
    <xf numFmtId="0" fontId="201" fillId="0" borderId="51" xfId="0" applyFont="1" applyFill="1" applyBorder="1" applyAlignment="1">
      <alignment vertical="center" wrapText="1"/>
    </xf>
    <xf numFmtId="0" fontId="311" fillId="14" borderId="40" xfId="0" applyFont="1" applyFill="1" applyBorder="1" applyAlignment="1">
      <alignment horizontal="center" vertical="center" wrapText="1"/>
    </xf>
    <xf numFmtId="0" fontId="311" fillId="14" borderId="253" xfId="0" applyFont="1" applyFill="1" applyBorder="1" applyAlignment="1">
      <alignment horizontal="center" vertical="center" wrapText="1"/>
    </xf>
    <xf numFmtId="168" fontId="311" fillId="14" borderId="253" xfId="1" applyNumberFormat="1" applyFont="1" applyFill="1" applyBorder="1" applyAlignment="1">
      <alignment horizontal="center" vertical="center" wrapText="1"/>
    </xf>
    <xf numFmtId="0" fontId="311" fillId="14" borderId="380" xfId="0" applyFont="1" applyFill="1" applyBorder="1" applyAlignment="1">
      <alignment vertical="center" wrapText="1"/>
    </xf>
    <xf numFmtId="0" fontId="201" fillId="0" borderId="52" xfId="0" applyFont="1" applyFill="1" applyBorder="1" applyAlignment="1">
      <alignment vertical="center" wrapText="1"/>
    </xf>
    <xf numFmtId="168" fontId="310" fillId="0" borderId="83" xfId="0" applyNumberFormat="1" applyFont="1" applyFill="1" applyBorder="1" applyAlignment="1">
      <alignment vertical="center" wrapText="1"/>
    </xf>
    <xf numFmtId="9" fontId="201" fillId="7" borderId="30" xfId="2" applyFont="1" applyFill="1" applyBorder="1" applyAlignment="1">
      <alignment vertical="center" wrapText="1"/>
    </xf>
    <xf numFmtId="0" fontId="310" fillId="0" borderId="44" xfId="0" applyFont="1" applyFill="1" applyBorder="1" applyAlignment="1">
      <alignment horizontal="center" vertical="center" wrapText="1"/>
    </xf>
    <xf numFmtId="168" fontId="244" fillId="0" borderId="44" xfId="1" applyNumberFormat="1" applyFont="1" applyFill="1" applyBorder="1" applyAlignment="1">
      <alignment horizontal="center" vertical="center" wrapText="1"/>
    </xf>
    <xf numFmtId="168" fontId="311" fillId="14" borderId="380" xfId="1" applyNumberFormat="1" applyFont="1" applyFill="1" applyBorder="1" applyAlignment="1">
      <alignment horizontal="center" vertical="center" wrapText="1"/>
    </xf>
    <xf numFmtId="0" fontId="311" fillId="14" borderId="9" xfId="0" applyFont="1" applyFill="1" applyBorder="1" applyAlignment="1">
      <alignment vertical="center" wrapText="1"/>
    </xf>
    <xf numFmtId="0" fontId="201" fillId="0" borderId="52" xfId="0" applyFont="1" applyFill="1" applyBorder="1" applyAlignment="1">
      <alignment horizontal="center" vertical="center" wrapText="1"/>
    </xf>
    <xf numFmtId="168" fontId="310" fillId="0" borderId="83" xfId="0" applyNumberFormat="1" applyFont="1" applyFill="1" applyBorder="1" applyAlignment="1">
      <alignment horizontal="center" vertical="center" wrapText="1"/>
    </xf>
    <xf numFmtId="9" fontId="201" fillId="7" borderId="43" xfId="2" applyFont="1" applyFill="1" applyBorder="1" applyAlignment="1">
      <alignment vertical="center" wrapText="1"/>
    </xf>
    <xf numFmtId="0" fontId="201" fillId="0" borderId="0" xfId="0" applyFont="1"/>
    <xf numFmtId="168" fontId="61" fillId="14" borderId="268" xfId="14" applyNumberFormat="1" applyFont="1" applyFill="1" applyBorder="1" applyAlignment="1">
      <alignment horizontal="center" vertical="center" wrapText="1"/>
    </xf>
    <xf numFmtId="168" fontId="61" fillId="14" borderId="20" xfId="14" applyNumberFormat="1" applyFont="1" applyFill="1" applyBorder="1" applyAlignment="1">
      <alignment horizontal="center" vertical="center" wrapText="1"/>
    </xf>
    <xf numFmtId="9" fontId="61" fillId="14" borderId="55" xfId="2" applyFont="1" applyFill="1" applyBorder="1" applyAlignment="1">
      <alignment horizontal="center" vertical="center" wrapText="1"/>
    </xf>
    <xf numFmtId="168" fontId="61" fillId="14" borderId="44" xfId="14" applyNumberFormat="1" applyFont="1" applyFill="1" applyBorder="1" applyAlignment="1">
      <alignment horizontal="center" vertical="center" wrapText="1"/>
    </xf>
    <xf numFmtId="168" fontId="61" fillId="14" borderId="421" xfId="14" applyNumberFormat="1" applyFont="1" applyFill="1" applyBorder="1" applyAlignment="1">
      <alignment horizontal="center" vertical="center" wrapText="1"/>
    </xf>
    <xf numFmtId="9" fontId="61" fillId="14" borderId="45" xfId="2" applyFont="1" applyFill="1" applyBorder="1" applyAlignment="1">
      <alignment horizontal="center" vertical="center" wrapText="1"/>
    </xf>
    <xf numFmtId="168" fontId="61" fillId="14" borderId="317" xfId="14" applyNumberFormat="1" applyFont="1" applyFill="1" applyBorder="1" applyAlignment="1">
      <alignment horizontal="center" vertical="center" wrapText="1"/>
    </xf>
    <xf numFmtId="168" fontId="61" fillId="14" borderId="420" xfId="14" applyNumberFormat="1" applyFont="1" applyFill="1" applyBorder="1" applyAlignment="1">
      <alignment horizontal="center" vertical="center" wrapText="1"/>
    </xf>
    <xf numFmtId="9" fontId="61" fillId="14" borderId="318" xfId="2" applyFont="1" applyFill="1" applyBorder="1" applyAlignment="1">
      <alignment horizontal="center" vertical="center" wrapText="1"/>
    </xf>
    <xf numFmtId="168" fontId="61" fillId="14" borderId="44" xfId="1" applyNumberFormat="1" applyFont="1" applyFill="1" applyBorder="1" applyAlignment="1">
      <alignment horizontal="center" vertical="center" wrapText="1"/>
    </xf>
    <xf numFmtId="168" fontId="61" fillId="14" borderId="421" xfId="1" applyNumberFormat="1" applyFont="1" applyFill="1" applyBorder="1" applyAlignment="1">
      <alignment horizontal="center" vertical="center" wrapText="1"/>
    </xf>
    <xf numFmtId="168" fontId="61" fillId="14" borderId="317" xfId="1" applyNumberFormat="1" applyFont="1" applyFill="1" applyBorder="1" applyAlignment="1">
      <alignment horizontal="center" vertical="center" wrapText="1"/>
    </xf>
    <xf numFmtId="168" fontId="61" fillId="14" borderId="420" xfId="1" applyNumberFormat="1" applyFont="1" applyFill="1" applyBorder="1" applyAlignment="1">
      <alignment horizontal="center" vertical="center" wrapText="1"/>
    </xf>
    <xf numFmtId="168" fontId="61" fillId="14" borderId="45" xfId="1" applyNumberFormat="1" applyFont="1" applyFill="1" applyBorder="1" applyAlignment="1">
      <alignment horizontal="center" vertical="center" wrapText="1"/>
    </xf>
    <xf numFmtId="168" fontId="61" fillId="14" borderId="318" xfId="1" applyNumberFormat="1" applyFont="1" applyFill="1" applyBorder="1" applyAlignment="1">
      <alignment horizontal="center" vertical="center" wrapText="1"/>
    </xf>
    <xf numFmtId="0" fontId="61" fillId="14" borderId="421" xfId="0" applyFont="1" applyFill="1" applyBorder="1" applyAlignment="1">
      <alignment horizontal="center" vertical="center" wrapText="1"/>
    </xf>
    <xf numFmtId="0" fontId="61" fillId="14" borderId="45" xfId="0" applyFont="1" applyFill="1" applyBorder="1" applyAlignment="1">
      <alignment horizontal="center" vertical="center" wrapText="1"/>
    </xf>
    <xf numFmtId="9" fontId="11" fillId="14" borderId="45" xfId="2" applyFont="1" applyFill="1" applyBorder="1" applyAlignment="1">
      <alignment horizontal="center" vertical="center" wrapText="1"/>
    </xf>
    <xf numFmtId="0" fontId="61" fillId="14" borderId="420" xfId="0" applyFont="1" applyFill="1" applyBorder="1" applyAlignment="1">
      <alignment horizontal="center" vertical="center" wrapText="1"/>
    </xf>
    <xf numFmtId="0" fontId="61" fillId="14" borderId="318" xfId="0" applyFont="1" applyFill="1" applyBorder="1" applyAlignment="1">
      <alignment horizontal="center" vertical="center" wrapText="1"/>
    </xf>
    <xf numFmtId="0" fontId="17" fillId="0" borderId="0" xfId="0" applyFont="1" applyAlignment="1">
      <alignment horizontal="center" vertical="center"/>
    </xf>
    <xf numFmtId="168" fontId="61" fillId="16" borderId="432" xfId="1" applyNumberFormat="1" applyFont="1" applyFill="1" applyBorder="1" applyAlignment="1">
      <alignment horizontal="center" vertical="center"/>
    </xf>
    <xf numFmtId="0" fontId="201" fillId="0" borderId="421" xfId="0" applyFont="1" applyBorder="1" applyAlignment="1">
      <alignment horizontal="center"/>
    </xf>
    <xf numFmtId="0" fontId="201" fillId="0" borderId="421" xfId="0" applyNumberFormat="1" applyFont="1" applyFill="1" applyBorder="1" applyAlignment="1">
      <alignment horizontal="center" vertical="center" wrapText="1"/>
    </xf>
    <xf numFmtId="0" fontId="310" fillId="26" borderId="421" xfId="0" applyFont="1" applyFill="1" applyBorder="1" applyAlignment="1">
      <alignment horizontal="center" vertical="center"/>
    </xf>
    <xf numFmtId="0" fontId="17" fillId="123" borderId="421" xfId="0" applyFont="1" applyFill="1" applyBorder="1" applyAlignment="1">
      <alignment horizontal="center" vertical="center" wrapText="1"/>
    </xf>
    <xf numFmtId="0" fontId="224" fillId="0" borderId="0" xfId="0" applyFont="1" applyAlignment="1">
      <alignment horizontal="center" vertical="center"/>
    </xf>
    <xf numFmtId="0" fontId="105" fillId="0" borderId="0" xfId="0" applyFont="1" applyAlignment="1">
      <alignment horizontal="left" vertical="center" wrapText="1"/>
    </xf>
    <xf numFmtId="9" fontId="201" fillId="0" borderId="0" xfId="2" applyFont="1" applyFill="1" applyAlignment="1">
      <alignment vertical="center" wrapText="1"/>
    </xf>
    <xf numFmtId="0" fontId="201" fillId="0" borderId="0" xfId="0" applyFont="1" applyFill="1" applyAlignment="1">
      <alignment horizontal="center" vertical="center" wrapText="1"/>
    </xf>
    <xf numFmtId="0" fontId="61" fillId="16" borderId="311" xfId="0" applyFont="1" applyFill="1" applyBorder="1" applyAlignment="1">
      <alignment horizontal="left" vertical="center" wrapText="1"/>
    </xf>
    <xf numFmtId="168" fontId="61" fillId="16" borderId="0" xfId="1" applyNumberFormat="1" applyFont="1" applyFill="1" applyBorder="1" applyAlignment="1">
      <alignment horizontal="center" vertical="center" wrapText="1"/>
    </xf>
    <xf numFmtId="0" fontId="61" fillId="16" borderId="45" xfId="0" applyFont="1" applyFill="1" applyBorder="1" applyAlignment="1">
      <alignment horizontal="center" vertical="center"/>
    </xf>
    <xf numFmtId="168" fontId="5" fillId="27" borderId="421" xfId="1" applyNumberFormat="1" applyFont="1" applyFill="1" applyBorder="1" applyAlignment="1">
      <alignment horizontal="right" vertical="center" wrapText="1"/>
    </xf>
    <xf numFmtId="168" fontId="5" fillId="26" borderId="421" xfId="1" applyNumberFormat="1" applyFont="1" applyFill="1" applyBorder="1" applyAlignment="1">
      <alignment horizontal="right" vertical="center" wrapText="1"/>
    </xf>
    <xf numFmtId="0" fontId="13" fillId="3" borderId="0" xfId="0" applyFont="1" applyFill="1" applyAlignment="1">
      <alignment horizontal="center"/>
    </xf>
    <xf numFmtId="0" fontId="13" fillId="3" borderId="0" xfId="0" applyFont="1" applyFill="1"/>
    <xf numFmtId="3" fontId="13" fillId="3" borderId="0" xfId="0" applyNumberFormat="1" applyFont="1" applyFill="1"/>
    <xf numFmtId="168" fontId="285" fillId="26" borderId="0" xfId="1" applyNumberFormat="1" applyFont="1" applyFill="1" applyBorder="1" applyAlignment="1">
      <alignment horizontal="center" vertical="center" wrapText="1"/>
    </xf>
    <xf numFmtId="168" fontId="285" fillId="28" borderId="0" xfId="1" applyNumberFormat="1" applyFont="1" applyFill="1" applyBorder="1" applyAlignment="1">
      <alignment horizontal="center" vertical="center" wrapText="1"/>
    </xf>
    <xf numFmtId="9" fontId="285" fillId="28" borderId="0" xfId="2" applyFont="1" applyFill="1" applyBorder="1" applyAlignment="1">
      <alignment horizontal="center" vertical="center" wrapText="1"/>
    </xf>
    <xf numFmtId="168" fontId="12" fillId="26" borderId="0" xfId="1" applyNumberFormat="1" applyFont="1" applyFill="1" applyBorder="1" applyAlignment="1">
      <alignment horizontal="center" vertical="center"/>
    </xf>
    <xf numFmtId="9" fontId="20" fillId="28" borderId="0" xfId="2" applyFont="1" applyFill="1" applyBorder="1" applyAlignment="1">
      <alignment horizontal="center" vertical="center"/>
    </xf>
    <xf numFmtId="0" fontId="225" fillId="0" borderId="0" xfId="0" applyFont="1" applyFill="1" applyBorder="1" applyAlignment="1">
      <alignment horizontal="center" vertical="center" wrapText="1"/>
    </xf>
    <xf numFmtId="0" fontId="314" fillId="0" borderId="0" xfId="0" applyFont="1" applyFill="1" applyBorder="1"/>
    <xf numFmtId="3" fontId="225" fillId="0" borderId="0" xfId="0" applyNumberFormat="1" applyFont="1"/>
    <xf numFmtId="0" fontId="225" fillId="0" borderId="0" xfId="0" applyFont="1"/>
    <xf numFmtId="167" fontId="106" fillId="0" borderId="0" xfId="2" applyNumberFormat="1" applyFont="1" applyFill="1" applyBorder="1" applyAlignment="1">
      <alignment horizontal="center" vertical="center"/>
    </xf>
    <xf numFmtId="0" fontId="159" fillId="7" borderId="93" xfId="0" applyFont="1" applyFill="1" applyBorder="1" applyAlignment="1">
      <alignment horizontal="center" vertical="center" wrapText="1"/>
    </xf>
    <xf numFmtId="168" fontId="159" fillId="0" borderId="23" xfId="1" applyNumberFormat="1" applyFont="1" applyFill="1" applyBorder="1" applyAlignment="1">
      <alignment horizontal="center" vertical="center" wrapText="1"/>
    </xf>
    <xf numFmtId="9" fontId="105" fillId="0" borderId="0" xfId="0" applyNumberFormat="1" applyFont="1" applyAlignment="1">
      <alignment horizontal="center"/>
    </xf>
    <xf numFmtId="9" fontId="225" fillId="0" borderId="0" xfId="2" applyFont="1" applyFill="1" applyBorder="1"/>
    <xf numFmtId="0" fontId="142" fillId="26" borderId="0" xfId="0" applyFont="1" applyFill="1" applyBorder="1" applyAlignment="1">
      <alignment horizontal="center" vertical="center" wrapText="1"/>
    </xf>
    <xf numFmtId="168" fontId="315" fillId="26" borderId="0" xfId="1" applyNumberFormat="1" applyFont="1" applyFill="1" applyBorder="1" applyAlignment="1" applyProtection="1">
      <alignment horizontal="center" vertical="center" wrapText="1"/>
    </xf>
    <xf numFmtId="168" fontId="316" fillId="26" borderId="0" xfId="1" applyNumberFormat="1" applyFont="1" applyFill="1" applyBorder="1" applyAlignment="1" applyProtection="1">
      <alignment horizontal="center" vertical="center" wrapText="1"/>
    </xf>
    <xf numFmtId="3" fontId="317" fillId="26" borderId="0" xfId="0" applyNumberFormat="1" applyFont="1" applyFill="1" applyBorder="1"/>
    <xf numFmtId="0" fontId="0" fillId="0" borderId="37" xfId="0" applyBorder="1" applyAlignment="1">
      <alignment vertical="center"/>
    </xf>
    <xf numFmtId="0" fontId="0" fillId="0" borderId="7" xfId="0" applyBorder="1" applyAlignment="1">
      <alignment vertical="center"/>
    </xf>
    <xf numFmtId="0" fontId="0" fillId="0" borderId="37" xfId="0" applyBorder="1" applyAlignment="1">
      <alignment horizontal="right" vertical="center"/>
    </xf>
    <xf numFmtId="0" fontId="0" fillId="0" borderId="0" xfId="0" applyAlignment="1">
      <alignment horizontal="right" vertical="center"/>
    </xf>
    <xf numFmtId="168" fontId="26" fillId="0" borderId="7" xfId="1" applyNumberFormat="1" applyFont="1" applyBorder="1" applyAlignment="1">
      <alignment vertical="center"/>
    </xf>
    <xf numFmtId="9" fontId="0" fillId="3" borderId="0" xfId="2" applyFont="1" applyFill="1"/>
    <xf numFmtId="0" fontId="0" fillId="3" borderId="0" xfId="0" applyFill="1"/>
    <xf numFmtId="9" fontId="0" fillId="5" borderId="0" xfId="2" applyFont="1" applyFill="1"/>
    <xf numFmtId="0" fontId="0" fillId="5" borderId="0" xfId="0" applyFill="1"/>
    <xf numFmtId="0" fontId="10" fillId="5" borderId="0" xfId="0" applyFont="1" applyFill="1"/>
    <xf numFmtId="0" fontId="0" fillId="0" borderId="421" xfId="0" applyBorder="1"/>
    <xf numFmtId="0" fontId="26" fillId="0" borderId="421" xfId="0" applyFont="1" applyBorder="1"/>
    <xf numFmtId="172" fontId="0" fillId="119" borderId="421" xfId="105" applyNumberFormat="1" applyFont="1" applyFill="1" applyBorder="1" applyAlignment="1">
      <alignment wrapText="1"/>
    </xf>
    <xf numFmtId="0" fontId="26" fillId="119" borderId="421" xfId="0" applyFont="1" applyFill="1" applyBorder="1"/>
    <xf numFmtId="172" fontId="0" fillId="119" borderId="0" xfId="105" applyNumberFormat="1" applyFont="1" applyFill="1" applyAlignment="1">
      <alignment wrapText="1"/>
    </xf>
    <xf numFmtId="10" fontId="21" fillId="14" borderId="45" xfId="4" applyNumberFormat="1" applyFill="1" applyBorder="1" applyAlignment="1" applyProtection="1">
      <alignment horizontal="center" vertical="center" wrapText="1"/>
    </xf>
    <xf numFmtId="9" fontId="301" fillId="107" borderId="0" xfId="2" applyNumberFormat="1" applyFont="1" applyFill="1" applyAlignment="1">
      <alignment horizontal="center" vertical="center"/>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09" fillId="0" borderId="13" xfId="0" applyFont="1" applyBorder="1" applyAlignment="1">
      <alignment horizontal="center" vertical="center" wrapText="1"/>
    </xf>
    <xf numFmtId="3" fontId="109"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09" fillId="28"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71" borderId="13" xfId="0" applyFont="1" applyFill="1" applyBorder="1" applyAlignment="1">
      <alignment vertical="center" wrapText="1"/>
    </xf>
    <xf numFmtId="0" fontId="7" fillId="118" borderId="13" xfId="0" applyFont="1" applyFill="1" applyBorder="1" applyAlignment="1">
      <alignment vertical="center" wrapText="1"/>
    </xf>
    <xf numFmtId="0" fontId="7" fillId="16" borderId="13" xfId="0" applyFont="1" applyFill="1" applyBorder="1" applyAlignment="1">
      <alignment vertical="center" wrapText="1"/>
    </xf>
    <xf numFmtId="0" fontId="7" fillId="70"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3" xfId="0" applyFont="1" applyFill="1" applyBorder="1" applyAlignment="1">
      <alignment horizontal="center" vertical="center"/>
    </xf>
    <xf numFmtId="0" fontId="61" fillId="26" borderId="66" xfId="0"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432" xfId="0" applyFont="1" applyFill="1" applyBorder="1" applyAlignment="1">
      <alignment horizontal="left" vertical="center"/>
    </xf>
    <xf numFmtId="0" fontId="61" fillId="16" borderId="362"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427"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3" fillId="28" borderId="52" xfId="0" applyFont="1" applyFill="1" applyBorder="1" applyAlignment="1">
      <alignment horizontal="center" vertical="center"/>
    </xf>
    <xf numFmtId="0" fontId="193" fillId="28" borderId="11" xfId="0" applyFont="1" applyFill="1" applyBorder="1" applyAlignment="1">
      <alignment horizontal="center" vertical="center"/>
    </xf>
    <xf numFmtId="0" fontId="193" fillId="28" borderId="83" xfId="0" applyFont="1" applyFill="1" applyBorder="1" applyAlignment="1">
      <alignment horizontal="center" vertical="center"/>
    </xf>
    <xf numFmtId="0" fontId="0" fillId="70" borderId="0" xfId="0" applyFill="1" applyBorder="1" applyAlignment="1">
      <alignment horizontal="center" vertical="center" wrapText="1"/>
    </xf>
    <xf numFmtId="0" fontId="0" fillId="70" borderId="0" xfId="0" applyFill="1" applyAlignment="1">
      <alignment horizontal="center" vertical="center" wrapText="1"/>
    </xf>
    <xf numFmtId="0" fontId="61" fillId="0" borderId="273"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432" xfId="1" applyFont="1" applyFill="1" applyBorder="1" applyAlignment="1">
      <alignment horizontal="center" vertical="center"/>
    </xf>
    <xf numFmtId="166" fontId="61" fillId="0" borderId="362" xfId="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26" borderId="273"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432" xfId="0" applyFont="1" applyFill="1" applyBorder="1" applyAlignment="1">
      <alignment horizontal="center" vertical="top" wrapText="1"/>
    </xf>
    <xf numFmtId="0" fontId="30" fillId="70" borderId="362"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432" xfId="0" applyFont="1" applyFill="1" applyBorder="1" applyAlignment="1">
      <alignment horizontal="center" vertical="top" wrapText="1"/>
    </xf>
    <xf numFmtId="0" fontId="30" fillId="28" borderId="362"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61" fillId="0" borderId="421" xfId="0" applyFont="1" applyBorder="1" applyAlignment="1">
      <alignment horizontal="center" vertical="center" wrapText="1"/>
    </xf>
    <xf numFmtId="10" fontId="30" fillId="0" borderId="421" xfId="2" applyNumberFormat="1" applyFont="1" applyFill="1" applyBorder="1" applyAlignment="1">
      <alignment horizontal="right" vertical="center"/>
    </xf>
    <xf numFmtId="0" fontId="30" fillId="28" borderId="25" xfId="1" applyNumberFormat="1" applyFont="1" applyFill="1" applyBorder="1" applyAlignment="1">
      <alignment horizontal="center" vertical="center"/>
    </xf>
    <xf numFmtId="0" fontId="30" fillId="28" borderId="432" xfId="1" applyNumberFormat="1" applyFont="1" applyFill="1" applyBorder="1" applyAlignment="1">
      <alignment horizontal="center" vertical="center"/>
    </xf>
    <xf numFmtId="0" fontId="30" fillId="28" borderId="362" xfId="1" applyNumberFormat="1"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0" borderId="318"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10" fontId="61" fillId="0" borderId="421" xfId="2" applyNumberFormat="1" applyFont="1" applyFill="1" applyBorder="1" applyAlignment="1">
      <alignment horizontal="right"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1" fillId="0" borderId="37" xfId="0" applyFont="1" applyFill="1" applyBorder="1" applyAlignment="1">
      <alignment horizontal="center" vertical="center" wrapText="1"/>
    </xf>
    <xf numFmtId="0" fontId="191" fillId="0" borderId="0" xfId="0" applyFont="1" applyFill="1" applyBorder="1" applyAlignment="1">
      <alignment horizontal="center" vertical="center" wrapText="1"/>
    </xf>
    <xf numFmtId="0" fontId="191"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2" fillId="0" borderId="13" xfId="4" applyFont="1" applyFill="1" applyBorder="1" applyAlignment="1" applyProtection="1">
      <alignment horizontal="center" vertical="center" wrapText="1"/>
    </xf>
    <xf numFmtId="0" fontId="21" fillId="0" borderId="13" xfId="4" applyFill="1" applyBorder="1" applyAlignment="1" applyProtection="1">
      <alignment horizontal="center" vertical="center" wrapText="1"/>
    </xf>
    <xf numFmtId="0" fontId="11" fillId="0" borderId="13" xfId="0" applyFont="1" applyFill="1" applyBorder="1" applyAlignment="1">
      <alignment vertical="center" wrapText="1"/>
    </xf>
    <xf numFmtId="0" fontId="192" fillId="0" borderId="24" xfId="4" applyFont="1" applyFill="1" applyBorder="1" applyAlignment="1" applyProtection="1">
      <alignment horizontal="left" vertical="center"/>
    </xf>
    <xf numFmtId="0" fontId="192" fillId="0" borderId="25" xfId="4" applyFont="1" applyFill="1" applyBorder="1" applyAlignment="1" applyProtection="1">
      <alignment horizontal="left" vertical="center"/>
    </xf>
    <xf numFmtId="0" fontId="192" fillId="0" borderId="58" xfId="4" applyFont="1" applyFill="1" applyBorder="1" applyAlignment="1" applyProtection="1">
      <alignment horizontal="left" vertical="center"/>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3" xfId="0" applyFont="1" applyBorder="1" applyAlignment="1">
      <alignment horizontal="center" vertical="top"/>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6"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26" borderId="273"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318"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61" fillId="0" borderId="433" xfId="0" applyFont="1" applyFill="1" applyBorder="1" applyAlignment="1">
      <alignment horizontal="center" vertical="center"/>
    </xf>
    <xf numFmtId="0" fontId="61" fillId="0" borderId="429" xfId="0" applyFont="1" applyFill="1" applyBorder="1" applyAlignment="1">
      <alignment horizontal="center" vertical="center"/>
    </xf>
    <xf numFmtId="4" fontId="61" fillId="26" borderId="262"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2" xfId="0" applyNumberFormat="1" applyFont="1" applyFill="1" applyBorder="1" applyAlignment="1">
      <alignment horizontal="center" vertical="center"/>
    </xf>
    <xf numFmtId="3" fontId="61" fillId="26" borderId="433" xfId="0" applyNumberFormat="1" applyFont="1" applyFill="1" applyBorder="1" applyAlignment="1">
      <alignment horizontal="center" vertical="center"/>
    </xf>
    <xf numFmtId="3" fontId="61" fillId="26" borderId="429" xfId="0" applyNumberFormat="1" applyFont="1" applyFill="1" applyBorder="1" applyAlignment="1">
      <alignment horizontal="center" vertical="center"/>
    </xf>
    <xf numFmtId="3" fontId="61" fillId="26" borderId="435" xfId="0" applyNumberFormat="1" applyFont="1" applyFill="1" applyBorder="1" applyAlignment="1">
      <alignment horizontal="center" vertical="center"/>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3" fontId="61" fillId="26" borderId="434" xfId="0" applyNumberFormat="1" applyFont="1" applyFill="1" applyBorder="1" applyAlignment="1">
      <alignment horizontal="center" vertical="center" wrapText="1"/>
    </xf>
    <xf numFmtId="3" fontId="61" fillId="26" borderId="427" xfId="0" applyNumberFormat="1" applyFont="1" applyFill="1" applyBorder="1" applyAlignment="1">
      <alignment horizontal="center" vertical="center" wrapText="1"/>
    </xf>
    <xf numFmtId="3" fontId="61" fillId="26" borderId="431" xfId="0" applyNumberFormat="1" applyFont="1" applyFill="1" applyBorder="1" applyAlignment="1">
      <alignment horizontal="center" vertical="center" wrapText="1"/>
    </xf>
    <xf numFmtId="3" fontId="61" fillId="26" borderId="423" xfId="0" applyNumberFormat="1" applyFont="1" applyFill="1" applyBorder="1" applyAlignment="1">
      <alignment horizontal="center" vertical="center"/>
    </xf>
    <xf numFmtId="3" fontId="61" fillId="26" borderId="432" xfId="0" applyNumberFormat="1" applyFont="1" applyFill="1" applyBorder="1" applyAlignment="1">
      <alignment horizontal="center" vertical="center"/>
    </xf>
    <xf numFmtId="3" fontId="61" fillId="26" borderId="424" xfId="0" applyNumberFormat="1" applyFont="1" applyFill="1" applyBorder="1" applyAlignment="1">
      <alignment horizontal="center" vertical="center"/>
    </xf>
    <xf numFmtId="0" fontId="192" fillId="0" borderId="0" xfId="4" applyFont="1" applyBorder="1" applyAlignment="1" applyProtection="1">
      <alignment horizontal="center" vertical="center" wrapText="1"/>
    </xf>
    <xf numFmtId="0" fontId="63" fillId="0" borderId="318" xfId="0" applyFont="1" applyFill="1" applyBorder="1" applyAlignment="1">
      <alignment horizontal="center" vertical="center"/>
    </xf>
    <xf numFmtId="0" fontId="63" fillId="0" borderId="55" xfId="0" applyFont="1" applyFill="1" applyBorder="1" applyAlignment="1">
      <alignment horizontal="center" vertical="center"/>
    </xf>
    <xf numFmtId="0" fontId="194" fillId="0" borderId="13" xfId="0" applyFont="1" applyBorder="1" applyAlignment="1">
      <alignment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194" fillId="0" borderId="17" xfId="0" applyFont="1" applyBorder="1" applyAlignment="1">
      <alignment horizontal="center" vertical="center" wrapText="1"/>
    </xf>
    <xf numFmtId="0" fontId="194" fillId="0" borderId="19" xfId="0" applyFont="1" applyBorder="1" applyAlignment="1">
      <alignment horizontal="center" vertical="center" wrapText="1"/>
    </xf>
    <xf numFmtId="0" fontId="194" fillId="0" borderId="20"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432"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11" fillId="0" borderId="13" xfId="0" applyFont="1" applyBorder="1" applyAlignment="1">
      <alignment vertical="center" wrapText="1"/>
    </xf>
    <xf numFmtId="0" fontId="61" fillId="16" borderId="25" xfId="0" applyFont="1" applyFill="1" applyBorder="1" applyAlignment="1">
      <alignment horizontal="center" vertical="center" wrapText="1"/>
    </xf>
    <xf numFmtId="0" fontId="61" fillId="16" borderId="432" xfId="0" applyFont="1" applyFill="1" applyBorder="1" applyAlignment="1">
      <alignment horizontal="center" vertical="center" wrapText="1"/>
    </xf>
    <xf numFmtId="0" fontId="61" fillId="16" borderId="362" xfId="0" applyFont="1" applyFill="1" applyBorder="1" applyAlignment="1">
      <alignment horizontal="center" vertical="center" wrapText="1"/>
    </xf>
    <xf numFmtId="168" fontId="61" fillId="16" borderId="432" xfId="1" applyNumberFormat="1" applyFont="1" applyFill="1" applyBorder="1" applyAlignment="1">
      <alignment horizontal="center" vertical="center"/>
    </xf>
    <xf numFmtId="168" fontId="61" fillId="16" borderId="424" xfId="1" applyNumberFormat="1" applyFont="1" applyFill="1" applyBorder="1" applyAlignment="1">
      <alignment horizontal="center" vertical="center"/>
    </xf>
    <xf numFmtId="0" fontId="7" fillId="0" borderId="63" xfId="0" applyFont="1" applyBorder="1" applyAlignment="1">
      <alignment horizontal="center" vertical="center" wrapText="1"/>
    </xf>
    <xf numFmtId="0" fontId="194" fillId="0" borderId="13" xfId="0" applyFont="1" applyFill="1" applyBorder="1" applyAlignment="1">
      <alignment horizontal="center" vertical="center" wrapText="1"/>
    </xf>
    <xf numFmtId="0" fontId="61" fillId="70" borderId="432" xfId="1" applyNumberFormat="1" applyFont="1" applyFill="1" applyBorder="1" applyAlignment="1">
      <alignment horizontal="center" vertical="top" wrapText="1"/>
    </xf>
    <xf numFmtId="0" fontId="61" fillId="70" borderId="362" xfId="1" applyNumberFormat="1" applyFont="1" applyFill="1" applyBorder="1" applyAlignment="1">
      <alignment horizontal="center" vertical="top" wrapText="1"/>
    </xf>
    <xf numFmtId="0" fontId="61" fillId="0" borderId="89" xfId="0" applyFont="1" applyFill="1" applyBorder="1" applyAlignment="1">
      <alignment horizontal="center" vertical="center"/>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2" fillId="0" borderId="36" xfId="4" applyFont="1" applyFill="1" applyBorder="1" applyAlignment="1" applyProtection="1">
      <alignment horizontal="center" vertical="center" wrapText="1"/>
    </xf>
    <xf numFmtId="0" fontId="192" fillId="0" borderId="27" xfId="4" applyFont="1" applyFill="1" applyBorder="1" applyAlignment="1" applyProtection="1">
      <alignment horizontal="center" vertical="center" wrapText="1"/>
    </xf>
    <xf numFmtId="0" fontId="192" fillId="0" borderId="59" xfId="4" applyFont="1" applyFill="1" applyBorder="1" applyAlignment="1" applyProtection="1">
      <alignment horizontal="center" vertical="center" wrapText="1"/>
    </xf>
    <xf numFmtId="0" fontId="192" fillId="0" borderId="23" xfId="4" applyFont="1" applyFill="1" applyBorder="1" applyAlignment="1" applyProtection="1">
      <alignment horizontal="center" vertical="center" wrapText="1"/>
    </xf>
    <xf numFmtId="0" fontId="192" fillId="0" borderId="0" xfId="4" applyFont="1" applyFill="1" applyBorder="1" applyAlignment="1" applyProtection="1">
      <alignment horizontal="center" vertical="center" wrapText="1"/>
    </xf>
    <xf numFmtId="0" fontId="192" fillId="0" borderId="63" xfId="4" applyFont="1" applyFill="1" applyBorder="1" applyAlignment="1" applyProtection="1">
      <alignment horizontal="center" vertical="center" wrapText="1"/>
    </xf>
    <xf numFmtId="0" fontId="192" fillId="0" borderId="38" xfId="4" applyFont="1" applyFill="1" applyBorder="1" applyAlignment="1" applyProtection="1">
      <alignment horizontal="center" vertical="center" wrapText="1"/>
    </xf>
    <xf numFmtId="0" fontId="192" fillId="0" borderId="34" xfId="4" applyFont="1" applyFill="1" applyBorder="1" applyAlignment="1" applyProtection="1">
      <alignment horizontal="center" vertical="center" wrapText="1"/>
    </xf>
    <xf numFmtId="0" fontId="192" fillId="0" borderId="39" xfId="4" applyFont="1" applyFill="1" applyBorder="1" applyAlignment="1" applyProtection="1">
      <alignment horizontal="center" vertical="center" wrapText="1"/>
    </xf>
    <xf numFmtId="167" fontId="11" fillId="130" borderId="43" xfId="2" applyNumberFormat="1" applyFont="1" applyFill="1" applyBorder="1" applyAlignment="1">
      <alignment horizontal="center" vertical="center" wrapText="1"/>
    </xf>
    <xf numFmtId="167" fontId="11" fillId="130" borderId="48" xfId="2" applyNumberFormat="1" applyFont="1" applyFill="1" applyBorder="1" applyAlignment="1">
      <alignment horizontal="center" vertic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8" borderId="43" xfId="2" applyNumberFormat="1" applyFont="1" applyFill="1" applyBorder="1" applyAlignment="1">
      <alignment horizontal="center" vertical="center" wrapText="1"/>
    </xf>
    <xf numFmtId="167" fontId="11" fillId="118"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168" fontId="11" fillId="130" borderId="312" xfId="1" applyNumberFormat="1" applyFont="1" applyFill="1" applyBorder="1" applyAlignment="1">
      <alignment horizontal="center" vertical="center"/>
    </xf>
    <xf numFmtId="168" fontId="11" fillId="130" borderId="315" xfId="1" applyNumberFormat="1" applyFont="1" applyFill="1" applyBorder="1" applyAlignment="1">
      <alignment horizontal="center" vertical="center"/>
    </xf>
    <xf numFmtId="9" fontId="11" fillId="130" borderId="312" xfId="2" applyFont="1" applyFill="1" applyBorder="1" applyAlignment="1">
      <alignment horizontal="center" vertical="center"/>
    </xf>
    <xf numFmtId="9" fontId="11" fillId="130" borderId="315" xfId="2" applyFont="1" applyFill="1" applyBorder="1" applyAlignment="1">
      <alignment horizontal="center" vertical="center"/>
    </xf>
    <xf numFmtId="168" fontId="11" fillId="26" borderId="312" xfId="1" applyNumberFormat="1" applyFont="1" applyFill="1" applyBorder="1" applyAlignment="1">
      <alignment horizontal="center" vertical="center"/>
    </xf>
    <xf numFmtId="168" fontId="11" fillId="26" borderId="315" xfId="1" applyNumberFormat="1" applyFont="1" applyFill="1" applyBorder="1" applyAlignment="1">
      <alignment horizontal="center" vertical="center"/>
    </xf>
    <xf numFmtId="9" fontId="11" fillId="26" borderId="312" xfId="2" applyFont="1" applyFill="1" applyBorder="1" applyAlignment="1">
      <alignment horizontal="center" vertical="center"/>
    </xf>
    <xf numFmtId="9" fontId="11" fillId="26" borderId="315" xfId="2" applyFont="1" applyFill="1" applyBorder="1" applyAlignment="1">
      <alignment horizontal="center" vertical="center"/>
    </xf>
    <xf numFmtId="9" fontId="11" fillId="118" borderId="312" xfId="2" applyFont="1" applyFill="1" applyBorder="1" applyAlignment="1">
      <alignment horizontal="center" vertical="center"/>
    </xf>
    <xf numFmtId="9" fontId="11" fillId="118" borderId="315" xfId="2" applyFont="1" applyFill="1" applyBorder="1" applyAlignment="1">
      <alignment horizontal="center" vertical="center"/>
    </xf>
    <xf numFmtId="9" fontId="11" fillId="31" borderId="312" xfId="2" applyFont="1" applyFill="1" applyBorder="1" applyAlignment="1">
      <alignment horizontal="center" vertical="center"/>
    </xf>
    <xf numFmtId="9" fontId="11" fillId="31" borderId="315" xfId="2" applyFont="1" applyFill="1" applyBorder="1" applyAlignment="1">
      <alignment horizontal="center" vertical="center"/>
    </xf>
    <xf numFmtId="168" fontId="11" fillId="118" borderId="312" xfId="1" applyNumberFormat="1" applyFont="1" applyFill="1" applyBorder="1" applyAlignment="1">
      <alignment horizontal="center" vertical="center"/>
    </xf>
    <xf numFmtId="168" fontId="11" fillId="118" borderId="315" xfId="1" applyNumberFormat="1" applyFont="1" applyFill="1" applyBorder="1" applyAlignment="1">
      <alignment horizontal="center" vertical="center"/>
    </xf>
    <xf numFmtId="168" fontId="11" fillId="31" borderId="312" xfId="1" applyNumberFormat="1" applyFont="1" applyFill="1" applyBorder="1" applyAlignment="1">
      <alignment horizontal="center" vertical="center"/>
    </xf>
    <xf numFmtId="168" fontId="11" fillId="31" borderId="315" xfId="1" applyNumberFormat="1" applyFont="1" applyFill="1" applyBorder="1" applyAlignment="1">
      <alignment horizontal="center" vertical="center"/>
    </xf>
    <xf numFmtId="168" fontId="11" fillId="121" borderId="312" xfId="1" applyNumberFormat="1" applyFont="1" applyFill="1" applyBorder="1" applyAlignment="1">
      <alignment horizontal="center" vertical="center"/>
    </xf>
    <xf numFmtId="168" fontId="11" fillId="121" borderId="315" xfId="1" applyNumberFormat="1" applyFont="1" applyFill="1" applyBorder="1" applyAlignment="1">
      <alignment horizontal="center" vertical="center"/>
    </xf>
    <xf numFmtId="9" fontId="11" fillId="121" borderId="312" xfId="2" applyFont="1" applyFill="1" applyBorder="1" applyAlignment="1">
      <alignment horizontal="center" vertical="center"/>
    </xf>
    <xf numFmtId="9" fontId="11" fillId="121" borderId="315" xfId="2" applyFont="1" applyFill="1" applyBorder="1" applyAlignment="1">
      <alignment horizontal="center" vertical="center"/>
    </xf>
    <xf numFmtId="168" fontId="11" fillId="27" borderId="312" xfId="1" applyNumberFormat="1" applyFont="1" applyFill="1" applyBorder="1" applyAlignment="1">
      <alignment horizontal="center" vertical="center"/>
    </xf>
    <xf numFmtId="168" fontId="11" fillId="27" borderId="315" xfId="1" applyNumberFormat="1" applyFont="1" applyFill="1" applyBorder="1" applyAlignment="1">
      <alignment horizontal="center" vertical="center"/>
    </xf>
    <xf numFmtId="9" fontId="11" fillId="27" borderId="312" xfId="2" applyFont="1" applyFill="1" applyBorder="1" applyAlignment="1">
      <alignment horizontal="center" vertical="center"/>
    </xf>
    <xf numFmtId="9" fontId="11" fillId="27" borderId="315" xfId="2" applyFont="1" applyFill="1" applyBorder="1" applyAlignment="1">
      <alignment horizontal="center" vertical="center"/>
    </xf>
    <xf numFmtId="168" fontId="11" fillId="14" borderId="312" xfId="1" applyNumberFormat="1" applyFont="1" applyFill="1" applyBorder="1" applyAlignment="1">
      <alignment horizontal="center" vertical="center"/>
    </xf>
    <xf numFmtId="168" fontId="11" fillId="14" borderId="315" xfId="1" applyNumberFormat="1" applyFont="1" applyFill="1" applyBorder="1" applyAlignment="1">
      <alignment horizontal="center" vertical="center"/>
    </xf>
    <xf numFmtId="9" fontId="11" fillId="14" borderId="312" xfId="2" applyFont="1" applyFill="1" applyBorder="1" applyAlignment="1">
      <alignment horizontal="center" vertical="center"/>
    </xf>
    <xf numFmtId="9" fontId="11" fillId="14" borderId="315" xfId="2" applyFont="1" applyFill="1" applyBorder="1" applyAlignment="1">
      <alignment horizontal="center" vertical="center"/>
    </xf>
    <xf numFmtId="0" fontId="97" fillId="0" borderId="0" xfId="0" applyFont="1" applyAlignment="1">
      <alignment horizontal="left" vertical="center" wrapText="1"/>
    </xf>
    <xf numFmtId="0" fontId="120" fillId="31" borderId="312" xfId="0" applyFont="1" applyFill="1" applyBorder="1" applyAlignment="1">
      <alignment horizontal="center" vertical="center" wrapText="1"/>
    </xf>
    <xf numFmtId="0" fontId="139" fillId="86" borderId="312" xfId="0" applyFont="1" applyFill="1" applyBorder="1" applyAlignment="1">
      <alignment horizontal="center" vertical="center" wrapText="1"/>
    </xf>
    <xf numFmtId="0" fontId="139" fillId="119" borderId="312" xfId="0" applyFont="1" applyFill="1" applyBorder="1" applyAlignment="1">
      <alignment horizontal="center" vertical="center" wrapText="1"/>
    </xf>
    <xf numFmtId="167" fontId="11" fillId="121" borderId="43" xfId="2" applyNumberFormat="1" applyFont="1" applyFill="1" applyBorder="1" applyAlignment="1">
      <alignment horizontal="center" vertical="center" wrapText="1"/>
    </xf>
    <xf numFmtId="167" fontId="11" fillId="121" borderId="48" xfId="2" applyNumberFormat="1" applyFont="1" applyFill="1" applyBorder="1" applyAlignment="1">
      <alignment horizontal="center" vertical="center" wrapText="1"/>
    </xf>
    <xf numFmtId="0" fontId="139" fillId="131" borderId="312" xfId="0" applyFont="1" applyFill="1" applyBorder="1" applyAlignment="1">
      <alignment horizontal="center" vertical="center" wrapText="1"/>
    </xf>
    <xf numFmtId="0" fontId="19" fillId="0" borderId="29" xfId="0" applyFont="1" applyBorder="1" applyAlignment="1">
      <alignment horizontal="center" wrapText="1"/>
    </xf>
    <xf numFmtId="167" fontId="301" fillId="28" borderId="0" xfId="2" applyNumberFormat="1" applyFont="1" applyFill="1" applyAlignment="1">
      <alignment horizontal="center" vertical="center"/>
    </xf>
    <xf numFmtId="0" fontId="244" fillId="0" borderId="29" xfId="0" applyFont="1" applyBorder="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Alignment="1">
      <alignment horizontal="center" vertical="center" wrapText="1"/>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59" fillId="3" borderId="41" xfId="0" applyFont="1" applyFill="1" applyBorder="1" applyAlignment="1">
      <alignment horizontal="center" vertical="center" wrapText="1"/>
    </xf>
    <xf numFmtId="0" fontId="259" fillId="3" borderId="6" xfId="0" applyFont="1" applyFill="1" applyBorder="1" applyAlignment="1">
      <alignment horizontal="center" vertical="center"/>
    </xf>
    <xf numFmtId="0" fontId="259" fillId="3" borderId="108"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8" xfId="0" applyFont="1" applyFill="1" applyBorder="1" applyAlignment="1">
      <alignment horizontal="center" vertical="center"/>
    </xf>
    <xf numFmtId="0" fontId="61" fillId="27" borderId="0"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0" borderId="35" xfId="0" applyFont="1" applyFill="1" applyBorder="1" applyAlignment="1">
      <alignment horizontal="center" vertical="center" wrapText="1"/>
    </xf>
    <xf numFmtId="0" fontId="61" fillId="0" borderId="37" xfId="0" applyFont="1" applyFill="1" applyBorder="1" applyAlignment="1">
      <alignment horizontal="center" vertical="center" wrapText="1"/>
    </xf>
    <xf numFmtId="0" fontId="61" fillId="3" borderId="41" xfId="0" applyFont="1" applyFill="1" applyBorder="1" applyAlignment="1">
      <alignment horizontal="center" vertical="center" wrapText="1"/>
    </xf>
    <xf numFmtId="0" fontId="61" fillId="3" borderId="6" xfId="0" applyFont="1" applyFill="1" applyBorder="1" applyAlignment="1">
      <alignment horizontal="center" vertical="center" wrapText="1"/>
    </xf>
    <xf numFmtId="0" fontId="61" fillId="3" borderId="8" xfId="0" applyFont="1" applyFill="1" applyBorder="1" applyAlignment="1">
      <alignment horizontal="center" vertical="center" wrapText="1"/>
    </xf>
    <xf numFmtId="0" fontId="251" fillId="70" borderId="296" xfId="0" applyFont="1" applyFill="1" applyBorder="1" applyAlignment="1">
      <alignment horizontal="center" vertical="center"/>
    </xf>
    <xf numFmtId="0" fontId="251" fillId="70" borderId="297" xfId="0" applyFont="1" applyFill="1" applyBorder="1" applyAlignment="1">
      <alignment horizontal="center" vertical="center"/>
    </xf>
    <xf numFmtId="0" fontId="251" fillId="27" borderId="295" xfId="0" applyFont="1" applyFill="1" applyBorder="1" applyAlignment="1">
      <alignment horizontal="center" vertical="center"/>
    </xf>
    <xf numFmtId="0" fontId="251" fillId="27" borderId="296" xfId="0" applyFont="1" applyFill="1" applyBorder="1" applyAlignment="1">
      <alignment horizontal="center" vertical="center"/>
    </xf>
    <xf numFmtId="0" fontId="251" fillId="27" borderId="297" xfId="0" applyFont="1" applyFill="1" applyBorder="1" applyAlignment="1">
      <alignment horizontal="center" vertical="center"/>
    </xf>
    <xf numFmtId="0" fontId="251" fillId="77" borderId="295" xfId="0" applyFont="1" applyFill="1" applyBorder="1" applyAlignment="1">
      <alignment horizontal="center" vertical="center"/>
    </xf>
    <xf numFmtId="0" fontId="251" fillId="77" borderId="296" xfId="0" applyFont="1" applyFill="1" applyBorder="1" applyAlignment="1">
      <alignment horizontal="center" vertical="center"/>
    </xf>
    <xf numFmtId="0" fontId="251" fillId="77" borderId="297" xfId="0" applyFont="1" applyFill="1" applyBorder="1" applyAlignment="1">
      <alignment horizontal="center" vertical="center"/>
    </xf>
    <xf numFmtId="0" fontId="251" fillId="0" borderId="36" xfId="0" applyFont="1" applyFill="1" applyBorder="1" applyAlignment="1">
      <alignment horizontal="center" vertical="center"/>
    </xf>
    <xf numFmtId="0" fontId="251" fillId="0" borderId="27" xfId="0" applyFont="1" applyFill="1" applyBorder="1" applyAlignment="1">
      <alignment horizontal="center" vertical="center"/>
    </xf>
    <xf numFmtId="0" fontId="251" fillId="0" borderId="263" xfId="0" applyFont="1" applyFill="1" applyBorder="1" applyAlignment="1">
      <alignment horizontal="center" vertical="center"/>
    </xf>
    <xf numFmtId="0" fontId="251" fillId="84" borderId="35" xfId="0" applyFont="1" applyFill="1" applyBorder="1" applyAlignment="1">
      <alignment horizontal="center" vertical="center"/>
    </xf>
    <xf numFmtId="0" fontId="251" fillId="84" borderId="29" xfId="0" applyFont="1" applyFill="1" applyBorder="1" applyAlignment="1">
      <alignment horizontal="center" vertical="center"/>
    </xf>
    <xf numFmtId="0" fontId="251" fillId="70" borderId="36" xfId="0" applyFont="1" applyFill="1" applyBorder="1" applyAlignment="1">
      <alignment horizontal="center" vertical="center"/>
    </xf>
    <xf numFmtId="0" fontId="251" fillId="70" borderId="27" xfId="0" applyFont="1" applyFill="1" applyBorder="1" applyAlignment="1">
      <alignment horizontal="center" vertical="center"/>
    </xf>
    <xf numFmtId="0" fontId="251" fillId="70" borderId="59" xfId="0" applyFont="1" applyFill="1" applyBorder="1" applyAlignment="1">
      <alignment horizontal="center" vertical="center"/>
    </xf>
    <xf numFmtId="0" fontId="251" fillId="14" borderId="36" xfId="0" applyFont="1" applyFill="1" applyBorder="1" applyAlignment="1">
      <alignment horizontal="center" vertical="center"/>
    </xf>
    <xf numFmtId="0" fontId="251" fillId="14" borderId="27" xfId="0" applyFont="1" applyFill="1" applyBorder="1" applyAlignment="1">
      <alignment horizontal="center" vertical="center"/>
    </xf>
    <xf numFmtId="0" fontId="251" fillId="14" borderId="59" xfId="0" applyFont="1" applyFill="1" applyBorder="1" applyAlignment="1">
      <alignment horizontal="center" vertical="center"/>
    </xf>
    <xf numFmtId="0" fontId="251" fillId="73" borderId="36" xfId="0" applyFont="1" applyFill="1" applyBorder="1" applyAlignment="1">
      <alignment horizontal="center" vertical="center"/>
    </xf>
    <xf numFmtId="0" fontId="251" fillId="73" borderId="27" xfId="0" applyFont="1" applyFill="1" applyBorder="1" applyAlignment="1">
      <alignment horizontal="center" vertical="center"/>
    </xf>
    <xf numFmtId="0" fontId="251" fillId="73" borderId="59" xfId="0" applyFont="1" applyFill="1" applyBorder="1" applyAlignment="1">
      <alignment horizontal="center" vertical="center"/>
    </xf>
    <xf numFmtId="0" fontId="251" fillId="71" borderId="307" xfId="0" applyFont="1" applyFill="1" applyBorder="1" applyAlignment="1">
      <alignment horizontal="center" vertical="center"/>
    </xf>
    <xf numFmtId="0" fontId="251" fillId="71" borderId="141" xfId="0" applyFont="1" applyFill="1" applyBorder="1" applyAlignment="1">
      <alignment horizontal="center" vertical="center"/>
    </xf>
    <xf numFmtId="0" fontId="251" fillId="71" borderId="229" xfId="0" applyFont="1" applyFill="1" applyBorder="1" applyAlignment="1">
      <alignment horizontal="center" vertical="center"/>
    </xf>
    <xf numFmtId="0" fontId="251" fillId="10" borderId="138" xfId="0" applyFont="1" applyFill="1" applyBorder="1" applyAlignment="1">
      <alignment horizontal="center" vertical="center"/>
    </xf>
    <xf numFmtId="0" fontId="251" fillId="10" borderId="139" xfId="0" applyFont="1" applyFill="1" applyBorder="1" applyAlignment="1">
      <alignment horizontal="center" vertical="center"/>
    </xf>
    <xf numFmtId="0" fontId="251" fillId="10" borderId="214" xfId="0" applyFont="1" applyFill="1" applyBorder="1" applyAlignment="1">
      <alignment horizontal="center" vertical="center"/>
    </xf>
    <xf numFmtId="0" fontId="251" fillId="71" borderId="215" xfId="0" applyFont="1" applyFill="1" applyBorder="1" applyAlignment="1">
      <alignment horizontal="center" vertical="center"/>
    </xf>
    <xf numFmtId="0" fontId="251" fillId="71" borderId="306" xfId="0" applyFont="1" applyFill="1" applyBorder="1" applyAlignment="1">
      <alignment horizontal="center" vertical="center"/>
    </xf>
    <xf numFmtId="0" fontId="251" fillId="26" borderId="36" xfId="0" applyFont="1" applyFill="1" applyBorder="1" applyAlignment="1">
      <alignment horizontal="center" vertical="center"/>
    </xf>
    <xf numFmtId="0" fontId="251" fillId="26" borderId="27" xfId="0" applyFont="1" applyFill="1" applyBorder="1" applyAlignment="1">
      <alignment horizontal="center" vertical="center"/>
    </xf>
    <xf numFmtId="0" fontId="251" fillId="26" borderId="59" xfId="0" applyFont="1" applyFill="1" applyBorder="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0" fillId="9" borderId="0" xfId="7" applyFont="1" applyFill="1" applyAlignment="1">
      <alignment horizontal="center"/>
    </xf>
    <xf numFmtId="0" fontId="291" fillId="29" borderId="0" xfId="7" applyFont="1" applyFill="1" applyAlignment="1">
      <alignment horizontal="center" vertical="center"/>
    </xf>
    <xf numFmtId="0" fontId="52" fillId="38" borderId="0" xfId="7" applyFont="1" applyFill="1" applyAlignment="1">
      <alignment horizontal="center" vertical="center"/>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6" xfId="0" applyFont="1" applyFill="1" applyBorder="1" applyAlignment="1">
      <alignment horizontal="left"/>
    </xf>
    <xf numFmtId="0" fontId="101" fillId="85" borderId="52"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8" fillId="70" borderId="41" xfId="0" applyFont="1" applyFill="1" applyBorder="1" applyAlignment="1">
      <alignment horizontal="center" vertical="center" wrapText="1"/>
    </xf>
    <xf numFmtId="0" fontId="18" fillId="70" borderId="8"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1" fontId="101" fillId="85" borderId="273" xfId="0" applyNumberFormat="1" applyFont="1" applyFill="1" applyBorder="1" applyAlignment="1">
      <alignment horizontal="center" vertical="center"/>
    </xf>
    <xf numFmtId="1" fontId="101" fillId="85" borderId="263"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0" fontId="61" fillId="117" borderId="19"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3" xfId="0" applyFont="1" applyFill="1" applyBorder="1" applyAlignment="1">
      <alignment horizontal="center" vertical="center" wrapText="1"/>
    </xf>
    <xf numFmtId="17" fontId="237" fillId="97" borderId="287" xfId="0" applyNumberFormat="1" applyFont="1" applyFill="1" applyBorder="1" applyAlignment="1">
      <alignment horizontal="center" vertical="center" wrapText="1"/>
    </xf>
    <xf numFmtId="17" fontId="237" fillId="97" borderId="288" xfId="0" applyNumberFormat="1" applyFont="1" applyFill="1" applyBorder="1" applyAlignment="1">
      <alignment horizontal="center" vertical="center" wrapText="1"/>
    </xf>
    <xf numFmtId="17" fontId="237" fillId="97" borderId="289" xfId="0" applyNumberFormat="1" applyFont="1" applyFill="1" applyBorder="1" applyAlignment="1">
      <alignment horizontal="center" vertical="center" wrapText="1"/>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0" xfId="85" applyFont="1" applyFill="1" applyBorder="1" applyAlignment="1">
      <alignment horizontal="center"/>
    </xf>
    <xf numFmtId="0" fontId="252" fillId="15" borderId="77" xfId="85" applyFont="1" applyFill="1" applyBorder="1" applyAlignment="1">
      <alignment horizontal="center" vertical="justify"/>
    </xf>
    <xf numFmtId="0" fontId="251" fillId="70" borderId="133" xfId="85" applyFont="1" applyFill="1" applyBorder="1" applyAlignment="1">
      <alignment horizontal="center"/>
    </xf>
    <xf numFmtId="0" fontId="251" fillId="70" borderId="134" xfId="85" applyFont="1" applyFill="1" applyBorder="1" applyAlignment="1">
      <alignment horizontal="center"/>
    </xf>
    <xf numFmtId="0" fontId="251" fillId="27" borderId="4" xfId="85" applyFont="1" applyFill="1" applyBorder="1" applyAlignment="1">
      <alignment horizontal="center"/>
    </xf>
    <xf numFmtId="0" fontId="251" fillId="27" borderId="133" xfId="85" applyFont="1" applyFill="1" applyBorder="1" applyAlignment="1">
      <alignment horizontal="center"/>
    </xf>
    <xf numFmtId="0" fontId="251" fillId="77" borderId="130" xfId="85" applyFont="1" applyFill="1" applyBorder="1" applyAlignment="1">
      <alignment horizontal="center"/>
    </xf>
    <xf numFmtId="0" fontId="251" fillId="77" borderId="131" xfId="85" applyFont="1" applyFill="1" applyBorder="1" applyAlignment="1">
      <alignment horizontal="center"/>
    </xf>
    <xf numFmtId="0" fontId="251" fillId="77" borderId="132" xfId="85" applyFont="1" applyFill="1" applyBorder="1" applyAlignment="1">
      <alignment horizontal="center"/>
    </xf>
    <xf numFmtId="0" fontId="251" fillId="73" borderId="130" xfId="85" applyFont="1" applyFill="1" applyBorder="1" applyAlignment="1">
      <alignment horizontal="center"/>
    </xf>
    <xf numFmtId="0" fontId="251" fillId="73" borderId="131" xfId="85" applyFont="1" applyFill="1" applyBorder="1" applyAlignment="1">
      <alignment horizontal="center"/>
    </xf>
    <xf numFmtId="0" fontId="251" fillId="71" borderId="135" xfId="85" applyFont="1" applyFill="1" applyBorder="1" applyAlignment="1">
      <alignment horizontal="center"/>
    </xf>
    <xf numFmtId="0" fontId="251" fillId="71" borderId="136" xfId="85" applyFont="1" applyFill="1" applyBorder="1" applyAlignment="1">
      <alignment horizontal="center"/>
    </xf>
    <xf numFmtId="0" fontId="251" fillId="71" borderId="137" xfId="85" applyFont="1" applyFill="1" applyBorder="1" applyAlignment="1">
      <alignment horizontal="center"/>
    </xf>
    <xf numFmtId="0" fontId="251" fillId="10" borderId="138" xfId="85" applyFont="1" applyFill="1" applyBorder="1" applyAlignment="1">
      <alignment horizontal="center"/>
    </xf>
    <xf numFmtId="0" fontId="251" fillId="10" borderId="139" xfId="85" applyFont="1" applyFill="1" applyBorder="1" applyAlignment="1">
      <alignment horizontal="center"/>
    </xf>
    <xf numFmtId="0" fontId="251" fillId="95" borderId="173" xfId="0" applyFont="1" applyFill="1" applyBorder="1" applyAlignment="1">
      <alignment horizontal="center"/>
    </xf>
    <xf numFmtId="0" fontId="251" fillId="95" borderId="174" xfId="0" applyFont="1" applyFill="1" applyBorder="1" applyAlignment="1">
      <alignment horizontal="center"/>
    </xf>
    <xf numFmtId="0" fontId="251" fillId="95" borderId="78" xfId="0"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61" fillId="14" borderId="129" xfId="85" applyFont="1" applyFill="1" applyBorder="1" applyAlignment="1">
      <alignment horizontal="center"/>
    </xf>
    <xf numFmtId="0" fontId="30" fillId="15" borderId="133" xfId="85" applyFont="1" applyFill="1" applyBorder="1" applyAlignment="1">
      <alignment horizontal="center"/>
    </xf>
    <xf numFmtId="0" fontId="252" fillId="8" borderId="23" xfId="85" applyFont="1" applyFill="1" applyBorder="1" applyAlignment="1">
      <alignment horizontal="center"/>
    </xf>
    <xf numFmtId="0" fontId="252" fillId="8" borderId="0" xfId="85" applyFont="1" applyFill="1" applyBorder="1" applyAlignment="1">
      <alignment horizontal="center"/>
    </xf>
    <xf numFmtId="0" fontId="251" fillId="70" borderId="130" xfId="85" applyFont="1" applyFill="1" applyBorder="1" applyAlignment="1">
      <alignment horizontal="center"/>
    </xf>
    <xf numFmtId="0" fontId="251" fillId="70" borderId="131" xfId="85" applyFont="1" applyFill="1" applyBorder="1" applyAlignment="1">
      <alignment horizontal="center"/>
    </xf>
    <xf numFmtId="0" fontId="251" fillId="70" borderId="132" xfId="85" applyFont="1" applyFill="1" applyBorder="1" applyAlignment="1">
      <alignment horizontal="center"/>
    </xf>
    <xf numFmtId="0" fontId="251" fillId="95" borderId="274" xfId="0" applyFont="1" applyFill="1" applyBorder="1" applyAlignment="1">
      <alignment horizontal="center"/>
    </xf>
    <xf numFmtId="0" fontId="251" fillId="95" borderId="275" xfId="0" applyFont="1" applyFill="1" applyBorder="1" applyAlignment="1">
      <alignment horizontal="center"/>
    </xf>
    <xf numFmtId="0" fontId="251" fillId="95" borderId="276" xfId="0" applyFont="1" applyFill="1" applyBorder="1" applyAlignment="1">
      <alignment horizontal="center"/>
    </xf>
    <xf numFmtId="0" fontId="251" fillId="9" borderId="0" xfId="85" applyFont="1" applyFill="1" applyAlignment="1">
      <alignment horizontal="center"/>
    </xf>
    <xf numFmtId="0" fontId="61" fillId="72" borderId="0" xfId="85" applyFont="1" applyFill="1" applyBorder="1" applyAlignment="1">
      <alignment horizontal="center"/>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251" fillId="31" borderId="52" xfId="85" applyFont="1" applyFill="1" applyBorder="1" applyAlignment="1">
      <alignment horizontal="center" vertical="center" wrapText="1"/>
    </xf>
    <xf numFmtId="0" fontId="251"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246" fillId="0" borderId="0" xfId="0" applyFont="1" applyFill="1" applyBorder="1" applyAlignment="1">
      <alignment horizont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168" fontId="8" fillId="38" borderId="52" xfId="1" applyNumberFormat="1" applyFont="1" applyFill="1" applyBorder="1" applyAlignment="1">
      <alignment horizontal="center" vertical="center" wrapText="1"/>
    </xf>
    <xf numFmtId="168" fontId="8" fillId="38" borderId="83" xfId="1" applyNumberFormat="1" applyFont="1" applyFill="1" applyBorder="1" applyAlignment="1">
      <alignment horizontal="center" vertical="center" wrapText="1"/>
    </xf>
    <xf numFmtId="168" fontId="265" fillId="127" borderId="11" xfId="1" applyNumberFormat="1" applyFont="1" applyFill="1" applyBorder="1" applyAlignment="1">
      <alignment horizontal="center" vertical="center" wrapText="1"/>
    </xf>
    <xf numFmtId="168" fontId="8" fillId="34" borderId="11" xfId="1" applyNumberFormat="1" applyFont="1" applyFill="1" applyBorder="1" applyAlignment="1">
      <alignment horizontal="center" vertical="center" wrapText="1"/>
    </xf>
    <xf numFmtId="168" fontId="91" fillId="128" borderId="11" xfId="1" applyNumberFormat="1" applyFont="1" applyFill="1" applyBorder="1" applyAlignment="1">
      <alignment horizontal="center" vertical="center" wrapText="1"/>
    </xf>
    <xf numFmtId="168" fontId="8" fillId="129" borderId="11" xfId="1" applyNumberFormat="1" applyFont="1" applyFill="1" applyBorder="1" applyAlignment="1">
      <alignment horizontal="center" vertical="center" wrapText="1"/>
    </xf>
    <xf numFmtId="168" fontId="298" fillId="38" borderId="421" xfId="1" applyNumberFormat="1" applyFont="1" applyFill="1" applyBorder="1" applyAlignment="1">
      <alignment horizontal="center" vertical="center" wrapText="1"/>
    </xf>
    <xf numFmtId="168" fontId="299" fillId="115" borderId="421" xfId="1" applyNumberFormat="1" applyFont="1" applyFill="1" applyBorder="1" applyAlignment="1">
      <alignment horizontal="center" vertical="center" wrapText="1"/>
    </xf>
    <xf numFmtId="164" fontId="296" fillId="38" borderId="420" xfId="105" applyNumberFormat="1" applyFont="1" applyFill="1" applyBorder="1" applyAlignment="1">
      <alignment horizontal="center" vertical="center" wrapText="1"/>
    </xf>
    <xf numFmtId="164" fontId="296" fillId="38" borderId="422" xfId="105" applyNumberFormat="1" applyFont="1" applyFill="1" applyBorder="1" applyAlignment="1">
      <alignment horizontal="center" vertical="center" wrapText="1"/>
    </xf>
    <xf numFmtId="168" fontId="297" fillId="127" borderId="421" xfId="1" applyNumberFormat="1" applyFont="1" applyFill="1" applyBorder="1" applyAlignment="1">
      <alignment horizontal="center" vertical="center" wrapText="1"/>
    </xf>
    <xf numFmtId="168" fontId="298" fillId="133" borderId="421" xfId="1" applyNumberFormat="1" applyFont="1" applyFill="1" applyBorder="1" applyAlignment="1">
      <alignment horizontal="center" vertical="center" wrapText="1"/>
    </xf>
    <xf numFmtId="168" fontId="298" fillId="128" borderId="421" xfId="1" applyNumberFormat="1" applyFont="1" applyFill="1" applyBorder="1" applyAlignment="1">
      <alignment horizontal="center" vertical="center" wrapText="1"/>
    </xf>
    <xf numFmtId="168" fontId="298" fillId="129" borderId="421" xfId="1" applyNumberFormat="1"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79"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79"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2"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9" fontId="0" fillId="16" borderId="52" xfId="2" applyFont="1" applyFill="1" applyBorder="1" applyAlignment="1">
      <alignment horizontal="center"/>
    </xf>
    <xf numFmtId="9" fontId="0" fillId="16" borderId="11" xfId="2" applyFont="1" applyFill="1" applyBorder="1" applyAlignment="1">
      <alignment horizontal="center"/>
    </xf>
    <xf numFmtId="0" fontId="10" fillId="16" borderId="37" xfId="0" applyFont="1" applyFill="1" applyBorder="1" applyAlignment="1">
      <alignment horizontal="center" vertical="center" wrapText="1"/>
    </xf>
    <xf numFmtId="0" fontId="10" fillId="16" borderId="0" xfId="0" applyFont="1" applyFill="1" applyBorder="1" applyAlignment="1">
      <alignment horizontal="center" vertical="center" wrapText="1"/>
    </xf>
    <xf numFmtId="0" fontId="10" fillId="16" borderId="7" xfId="0" applyFont="1" applyFill="1" applyBorder="1" applyAlignment="1">
      <alignment horizontal="center" vertical="center" wrapText="1"/>
    </xf>
    <xf numFmtId="0" fontId="10" fillId="16" borderId="40" xfId="0" applyFont="1" applyFill="1" applyBorder="1" applyAlignment="1">
      <alignment horizontal="center" vertical="center" wrapText="1"/>
    </xf>
    <xf numFmtId="0" fontId="10" fillId="16" borderId="33" xfId="0" applyFont="1" applyFill="1" applyBorder="1" applyAlignment="1">
      <alignment horizontal="center" vertical="center" wrapText="1"/>
    </xf>
    <xf numFmtId="0" fontId="10" fillId="16" borderId="9" xfId="0" applyFont="1" applyFill="1" applyBorder="1" applyAlignment="1">
      <alignment horizontal="center" vertical="center" wrapText="1"/>
    </xf>
    <xf numFmtId="0" fontId="283" fillId="0" borderId="0" xfId="0" applyFont="1" applyAlignment="1">
      <alignment horizontal="center" vertical="top" wrapText="1"/>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9" fontId="0" fillId="26" borderId="0" xfId="2" applyFont="1" applyFill="1" applyBorder="1" applyAlignment="1">
      <alignment horizontal="center"/>
    </xf>
    <xf numFmtId="9" fontId="0" fillId="28" borderId="0" xfId="2" applyFont="1" applyFill="1" applyBorder="1" applyAlignment="1">
      <alignment horizontal="center"/>
    </xf>
    <xf numFmtId="3" fontId="138" fillId="26" borderId="0" xfId="0" applyNumberFormat="1" applyFont="1" applyFill="1" applyAlignment="1">
      <alignment horizontal="center" vertical="center"/>
    </xf>
    <xf numFmtId="3" fontId="138" fillId="28" borderId="0" xfId="0" applyNumberFormat="1" applyFont="1" applyFill="1" applyAlignment="1">
      <alignment horizontal="center" vertical="center"/>
    </xf>
    <xf numFmtId="168" fontId="281" fillId="26" borderId="0" xfId="1" applyNumberFormat="1" applyFont="1" applyFill="1" applyBorder="1" applyAlignment="1">
      <alignment horizontal="center"/>
    </xf>
    <xf numFmtId="168" fontId="281" fillId="28" borderId="0" xfId="1" applyNumberFormat="1" applyFont="1" applyFill="1" applyBorder="1" applyAlignment="1">
      <alignment horizontal="center"/>
    </xf>
    <xf numFmtId="0" fontId="282" fillId="26" borderId="0" xfId="0" applyFont="1" applyFill="1" applyAlignment="1">
      <alignment horizontal="center" vertical="center" wrapText="1"/>
    </xf>
    <xf numFmtId="0" fontId="282" fillId="28" borderId="0" xfId="0" applyFont="1" applyFill="1" applyAlignment="1">
      <alignment horizontal="center" vertical="center" wrapText="1"/>
    </xf>
    <xf numFmtId="0" fontId="10" fillId="3" borderId="37"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57" fillId="105" borderId="0" xfId="0" applyFont="1" applyFill="1" applyAlignment="1">
      <alignment horizontal="center" vertical="center"/>
    </xf>
    <xf numFmtId="0" fontId="157" fillId="28" borderId="0" xfId="0" applyFont="1" applyFill="1" applyAlignment="1">
      <alignment horizontal="center" vertical="center"/>
    </xf>
    <xf numFmtId="0" fontId="286" fillId="105" borderId="0" xfId="0" applyFont="1" applyFill="1" applyAlignment="1">
      <alignment horizontal="center" vertical="center" wrapText="1"/>
    </xf>
    <xf numFmtId="0" fontId="286" fillId="3" borderId="0" xfId="0" applyFont="1" applyFill="1" applyAlignment="1">
      <alignment horizontal="center" vertical="center" wrapText="1"/>
    </xf>
    <xf numFmtId="3" fontId="278" fillId="105" borderId="0" xfId="0" applyNumberFormat="1" applyFont="1" applyFill="1" applyAlignment="1">
      <alignment horizontal="center" vertical="center" wrapText="1"/>
    </xf>
    <xf numFmtId="0" fontId="282" fillId="0" borderId="0" xfId="0" applyFont="1" applyAlignment="1">
      <alignment horizontal="center" vertical="center" wrapText="1"/>
    </xf>
    <xf numFmtId="168" fontId="282" fillId="0" borderId="0" xfId="1" applyNumberFormat="1" applyFont="1" applyBorder="1" applyAlignment="1">
      <alignment horizontal="center" vertical="center" wrapText="1"/>
    </xf>
    <xf numFmtId="0" fontId="285" fillId="0" borderId="0" xfId="0" applyFont="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168" fontId="157" fillId="28" borderId="24" xfId="1" applyNumberFormat="1" applyFont="1" applyFill="1" applyBorder="1" applyAlignment="1">
      <alignment horizontal="center" vertical="center" wrapText="1"/>
    </xf>
    <xf numFmtId="168" fontId="157" fillId="28" borderId="58" xfId="1" applyNumberFormat="1" applyFont="1" applyFill="1" applyBorder="1" applyAlignment="1">
      <alignment horizontal="center" vertical="center" wrapText="1"/>
    </xf>
    <xf numFmtId="9" fontId="0" fillId="105" borderId="0" xfId="2" applyFont="1" applyFill="1" applyAlignment="1">
      <alignment horizontal="center"/>
    </xf>
    <xf numFmtId="168" fontId="285" fillId="0" borderId="0" xfId="1" applyNumberFormat="1" applyFont="1" applyBorder="1" applyAlignment="1">
      <alignment horizontal="left" vertical="center" wrapText="1"/>
    </xf>
    <xf numFmtId="0" fontId="157" fillId="26" borderId="0" xfId="0" applyFont="1" applyFill="1" applyAlignment="1">
      <alignment horizontal="center" vertical="center"/>
    </xf>
    <xf numFmtId="0" fontId="286" fillId="26" borderId="0" xfId="0" applyFont="1" applyFill="1" applyAlignment="1">
      <alignment horizontal="center" vertical="center" wrapText="1"/>
    </xf>
    <xf numFmtId="0" fontId="285" fillId="0" borderId="0" xfId="0" applyFont="1" applyAlignment="1">
      <alignment horizontal="left" vertical="center" wrapText="1"/>
    </xf>
    <xf numFmtId="0" fontId="26" fillId="26" borderId="0" xfId="0" applyFont="1" applyFill="1" applyAlignment="1">
      <alignment horizontal="center" wrapText="1"/>
    </xf>
    <xf numFmtId="0" fontId="26" fillId="28" borderId="0" xfId="0" applyFont="1" applyFill="1" applyAlignment="1">
      <alignment horizontal="center" wrapText="1"/>
    </xf>
    <xf numFmtId="0" fontId="28" fillId="26" borderId="0" xfId="0" applyFont="1" applyFill="1" applyAlignment="1">
      <alignment horizontal="center" wrapText="1"/>
    </xf>
    <xf numFmtId="0" fontId="28" fillId="28" borderId="0" xfId="0" applyFont="1" applyFill="1" applyAlignment="1">
      <alignment horizontal="center" wrapText="1"/>
    </xf>
    <xf numFmtId="168" fontId="285" fillId="26" borderId="0" xfId="1" applyNumberFormat="1" applyFont="1" applyFill="1" applyBorder="1" applyAlignment="1">
      <alignment horizontal="center" vertical="center" wrapText="1"/>
    </xf>
    <xf numFmtId="0" fontId="287" fillId="3" borderId="0" xfId="0" applyFont="1" applyFill="1" applyAlignment="1">
      <alignment horizontal="center" vertical="center"/>
    </xf>
    <xf numFmtId="0" fontId="157" fillId="0" borderId="0" xfId="0" applyFont="1" applyAlignment="1">
      <alignment horizontal="center" vertical="center"/>
    </xf>
    <xf numFmtId="0" fontId="287" fillId="0" borderId="0" xfId="0" applyFont="1" applyAlignment="1">
      <alignment horizontal="center" vertical="center"/>
    </xf>
    <xf numFmtId="0" fontId="287" fillId="26" borderId="0" xfId="0" applyFont="1" applyFill="1" applyAlignment="1">
      <alignment horizontal="center" vertical="center"/>
    </xf>
    <xf numFmtId="0" fontId="287" fillId="28" borderId="0" xfId="0" applyFont="1" applyFill="1" applyAlignment="1">
      <alignment horizontal="center" vertical="center"/>
    </xf>
    <xf numFmtId="3" fontId="138" fillId="132" borderId="0" xfId="0" applyNumberFormat="1" applyFont="1" applyFill="1" applyAlignment="1">
      <alignment horizontal="center" vertical="center"/>
    </xf>
    <xf numFmtId="3" fontId="0" fillId="0" borderId="0" xfId="0" applyNumberFormat="1" applyAlignment="1">
      <alignment horizontal="center"/>
    </xf>
    <xf numFmtId="0" fontId="0" fillId="0" borderId="0" xfId="0" applyAlignment="1">
      <alignment horizontal="center"/>
    </xf>
    <xf numFmtId="3" fontId="0" fillId="26" borderId="0" xfId="0" applyNumberFormat="1" applyFill="1" applyAlignment="1">
      <alignment horizontal="center"/>
    </xf>
    <xf numFmtId="3" fontId="0" fillId="28" borderId="0" xfId="0" applyNumberFormat="1" applyFill="1" applyAlignment="1">
      <alignment horizontal="center"/>
    </xf>
    <xf numFmtId="3" fontId="26" fillId="0" borderId="0" xfId="0" applyNumberFormat="1" applyFont="1" applyAlignment="1">
      <alignment horizontal="center"/>
    </xf>
    <xf numFmtId="3" fontId="26" fillId="26" borderId="0" xfId="0" applyNumberFormat="1" applyFont="1" applyFill="1" applyAlignment="1">
      <alignment horizontal="center"/>
    </xf>
    <xf numFmtId="3" fontId="26" fillId="28" borderId="0" xfId="0" applyNumberFormat="1" applyFont="1" applyFill="1" applyAlignment="1">
      <alignment horizontal="center"/>
    </xf>
    <xf numFmtId="9" fontId="0" fillId="0" borderId="0" xfId="2" applyFont="1" applyBorder="1" applyAlignment="1">
      <alignment horizontal="center"/>
    </xf>
    <xf numFmtId="0" fontId="157" fillId="0" borderId="29" xfId="0" applyFont="1" applyBorder="1" applyAlignment="1">
      <alignment horizontal="center" vertical="center"/>
    </xf>
    <xf numFmtId="0" fontId="157" fillId="26" borderId="29" xfId="0" applyFont="1" applyFill="1" applyBorder="1" applyAlignment="1">
      <alignment horizontal="center" vertical="center"/>
    </xf>
    <xf numFmtId="0" fontId="26" fillId="3" borderId="0" xfId="0" applyFont="1" applyFill="1" applyAlignment="1">
      <alignment horizontal="center"/>
    </xf>
    <xf numFmtId="0" fontId="26" fillId="0" borderId="0" xfId="0" applyFont="1" applyAlignment="1">
      <alignment horizontal="center"/>
    </xf>
    <xf numFmtId="0" fontId="26" fillId="26" borderId="0" xfId="0" applyFont="1" applyFill="1" applyAlignment="1">
      <alignment horizontal="center"/>
    </xf>
    <xf numFmtId="0" fontId="26" fillId="28" borderId="0" xfId="0" applyFont="1" applyFill="1" applyAlignment="1">
      <alignment horizontal="center"/>
    </xf>
    <xf numFmtId="0" fontId="285" fillId="26" borderId="0" xfId="0" applyFont="1" applyFill="1" applyAlignment="1">
      <alignment horizontal="center" vertical="center" wrapText="1"/>
    </xf>
    <xf numFmtId="0" fontId="285" fillId="28" borderId="0" xfId="0" applyFont="1" applyFill="1" applyAlignment="1">
      <alignment horizontal="center" vertical="center" wrapText="1"/>
    </xf>
    <xf numFmtId="0" fontId="26" fillId="15" borderId="0" xfId="0" applyFont="1" applyFill="1" applyAlignment="1">
      <alignment horizontal="center"/>
    </xf>
    <xf numFmtId="168" fontId="0" fillId="15" borderId="0" xfId="1" applyNumberFormat="1" applyFont="1" applyFill="1" applyBorder="1" applyAlignment="1">
      <alignment vertical="center"/>
    </xf>
    <xf numFmtId="168" fontId="0" fillId="26" borderId="0" xfId="1" applyNumberFormat="1" applyFont="1" applyFill="1" applyBorder="1" applyAlignment="1">
      <alignment vertical="center"/>
    </xf>
    <xf numFmtId="168" fontId="0" fillId="28" borderId="0" xfId="1" applyNumberFormat="1" applyFont="1" applyFill="1" applyBorder="1" applyAlignment="1">
      <alignment vertical="center"/>
    </xf>
    <xf numFmtId="0" fontId="282" fillId="0" borderId="0" xfId="0" applyFont="1" applyAlignment="1">
      <alignment horizontal="center" vertical="center"/>
    </xf>
    <xf numFmtId="0" fontId="157" fillId="3" borderId="0" xfId="0" applyFont="1" applyFill="1" applyAlignment="1">
      <alignment horizontal="center" vertical="center"/>
    </xf>
    <xf numFmtId="0" fontId="231" fillId="0" borderId="27" xfId="0" applyFont="1" applyBorder="1" applyAlignment="1">
      <alignment horizontal="right" vertical="center" wrapText="1"/>
    </xf>
    <xf numFmtId="0" fontId="23" fillId="0" borderId="0" xfId="0" applyFont="1" applyAlignment="1">
      <alignment horizontal="center" vertical="center"/>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3"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1"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9" fontId="159" fillId="31" borderId="52" xfId="2" applyFont="1" applyFill="1" applyBorder="1" applyAlignment="1">
      <alignment horizontal="center" vertical="center"/>
    </xf>
    <xf numFmtId="9" fontId="159" fillId="31" borderId="11" xfId="2" applyFont="1" applyFill="1" applyBorder="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429" xfId="0" applyNumberFormat="1" applyFont="1" applyFill="1" applyBorder="1" applyAlignment="1">
      <alignment horizontal="center" vertical="center"/>
    </xf>
    <xf numFmtId="171" fontId="61" fillId="14" borderId="430" xfId="0" applyNumberFormat="1" applyFont="1" applyFill="1" applyBorder="1" applyAlignment="1">
      <alignment horizontal="center" vertical="center"/>
    </xf>
    <xf numFmtId="171" fontId="61" fillId="28" borderId="429" xfId="0" applyNumberFormat="1" applyFont="1" applyFill="1" applyBorder="1" applyAlignment="1">
      <alignment horizontal="center" vertical="center"/>
    </xf>
    <xf numFmtId="171" fontId="61" fillId="28" borderId="430" xfId="0" applyNumberFormat="1" applyFont="1" applyFill="1" applyBorder="1" applyAlignment="1">
      <alignment horizontal="center" vertical="center"/>
    </xf>
    <xf numFmtId="9" fontId="302" fillId="31" borderId="52" xfId="2" applyFont="1" applyFill="1" applyBorder="1" applyAlignment="1">
      <alignment horizontal="center" vertical="center" wrapText="1"/>
    </xf>
    <xf numFmtId="9" fontId="302" fillId="31" borderId="69" xfId="2" applyFont="1" applyFill="1" applyBorder="1" applyAlignment="1">
      <alignment horizontal="center" vertical="center" wrapText="1"/>
    </xf>
    <xf numFmtId="9" fontId="159" fillId="31" borderId="87" xfId="2" applyFont="1" applyFill="1" applyBorder="1" applyAlignment="1">
      <alignment horizontal="center" vertical="center" wrapText="1"/>
    </xf>
    <xf numFmtId="9" fontId="159" fillId="31" borderId="11" xfId="2" applyFont="1" applyFill="1" applyBorder="1" applyAlignment="1">
      <alignment horizontal="center" vertical="center" wrapText="1"/>
    </xf>
    <xf numFmtId="0" fontId="6" fillId="16" borderId="23" xfId="0" applyFont="1" applyFill="1" applyBorder="1" applyAlignment="1">
      <alignment horizontal="center"/>
    </xf>
    <xf numFmtId="0" fontId="6" fillId="16" borderId="0" xfId="0" applyFont="1" applyFill="1" applyBorder="1" applyAlignment="1">
      <alignment horizontal="center"/>
    </xf>
    <xf numFmtId="3" fontId="308" fillId="26" borderId="427" xfId="0" applyNumberFormat="1" applyFont="1" applyFill="1" applyBorder="1" applyAlignment="1">
      <alignment horizontal="center" vertical="center" wrapText="1"/>
    </xf>
    <xf numFmtId="0" fontId="11" fillId="28" borderId="40" xfId="0" applyFont="1" applyFill="1" applyBorder="1" applyAlignment="1">
      <alignment horizontal="center" vertical="center" wrapText="1"/>
    </xf>
    <xf numFmtId="0" fontId="11" fillId="28" borderId="33" xfId="0" applyFont="1" applyFill="1" applyBorder="1" applyAlignment="1">
      <alignment horizontal="center" vertical="center" wrapText="1"/>
    </xf>
    <xf numFmtId="0" fontId="11" fillId="28" borderId="253" xfId="0" applyFont="1" applyFill="1" applyBorder="1" applyAlignment="1">
      <alignment horizontal="center" vertical="center" wrapText="1"/>
    </xf>
    <xf numFmtId="0" fontId="11" fillId="28" borderId="9" xfId="0" applyFont="1" applyFill="1" applyBorder="1" applyAlignment="1">
      <alignment horizontal="center" vertical="center" wrapText="1"/>
    </xf>
    <xf numFmtId="0" fontId="11" fillId="28" borderId="361" xfId="0" applyFont="1" applyFill="1" applyBorder="1" applyAlignment="1">
      <alignment horizontal="center" vertical="center" wrapText="1"/>
    </xf>
    <xf numFmtId="171" fontId="11" fillId="13" borderId="434" xfId="0" applyNumberFormat="1" applyFont="1" applyFill="1" applyBorder="1" applyAlignment="1">
      <alignment horizontal="center" vertical="center"/>
    </xf>
    <xf numFmtId="171" fontId="11" fillId="13" borderId="427" xfId="0" applyNumberFormat="1" applyFont="1" applyFill="1" applyBorder="1" applyAlignment="1">
      <alignment horizontal="center" vertical="center"/>
    </xf>
    <xf numFmtId="2" fontId="201" fillId="70" borderId="29" xfId="0" applyNumberFormat="1" applyFont="1" applyFill="1" applyBorder="1" applyAlignment="1">
      <alignment horizontal="center" vertical="center"/>
    </xf>
    <xf numFmtId="2" fontId="201" fillId="71" borderId="29" xfId="0" applyNumberFormat="1" applyFont="1" applyFill="1" applyBorder="1" applyAlignment="1">
      <alignment horizontal="center" vertical="center" wrapText="1"/>
    </xf>
    <xf numFmtId="171" fontId="7" fillId="16" borderId="0" xfId="0" applyNumberFormat="1" applyFont="1" applyFill="1" applyAlignment="1">
      <alignment horizontal="left" vertical="center" wrapText="1"/>
    </xf>
    <xf numFmtId="171" fontId="7" fillId="16" borderId="0" xfId="0" applyNumberFormat="1" applyFont="1" applyFill="1" applyAlignment="1">
      <alignment horizontal="left" vertical="center"/>
    </xf>
    <xf numFmtId="171" fontId="61" fillId="0" borderId="27" xfId="0" applyNumberFormat="1" applyFont="1" applyBorder="1" applyAlignment="1">
      <alignment horizontal="center" vertical="center"/>
    </xf>
    <xf numFmtId="171" fontId="61" fillId="14" borderId="263" xfId="0" applyNumberFormat="1" applyFont="1" applyFill="1" applyBorder="1" applyAlignment="1">
      <alignment horizontal="center" vertical="center"/>
    </xf>
    <xf numFmtId="9" fontId="159" fillId="31" borderId="83" xfId="2" applyFont="1" applyFill="1" applyBorder="1" applyAlignment="1">
      <alignment horizontal="center" vertic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2" xfId="0" applyFont="1" applyFill="1" applyBorder="1" applyAlignment="1">
      <alignment horizontal="center" vertical="center"/>
    </xf>
    <xf numFmtId="0" fontId="17" fillId="0" borderId="316"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6" fillId="13" borderId="377" xfId="0" applyFont="1" applyFill="1" applyBorder="1" applyAlignment="1">
      <alignment horizontal="center" vertical="center"/>
    </xf>
    <xf numFmtId="0" fontId="6" fillId="13" borderId="26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168" fontId="17" fillId="0" borderId="423" xfId="1" applyNumberFormat="1" applyFont="1" applyFill="1" applyBorder="1" applyAlignment="1">
      <alignment horizontal="center"/>
    </xf>
    <xf numFmtId="168" fontId="17" fillId="0" borderId="432" xfId="1" applyNumberFormat="1" applyFont="1" applyFill="1" applyBorder="1" applyAlignment="1">
      <alignment horizontal="center"/>
    </xf>
    <xf numFmtId="168" fontId="17" fillId="0" borderId="424" xfId="1" applyNumberFormat="1" applyFont="1" applyFill="1" applyBorder="1" applyAlignment="1">
      <alignment horizontal="center"/>
    </xf>
    <xf numFmtId="168" fontId="17" fillId="0" borderId="420" xfId="1" applyNumberFormat="1" applyFont="1" applyFill="1" applyBorder="1" applyAlignment="1">
      <alignment horizontal="center" vertical="center"/>
    </xf>
    <xf numFmtId="168" fontId="17" fillId="0" borderId="20" xfId="1" applyNumberFormat="1" applyFont="1" applyFill="1" applyBorder="1" applyAlignment="1">
      <alignment horizontal="center" vertical="center"/>
    </xf>
    <xf numFmtId="168" fontId="17" fillId="26" borderId="423" xfId="1" applyNumberFormat="1" applyFont="1" applyFill="1" applyBorder="1" applyAlignment="1">
      <alignment horizontal="center"/>
    </xf>
    <xf numFmtId="168" fontId="17" fillId="26" borderId="432" xfId="1" applyNumberFormat="1" applyFont="1" applyFill="1" applyBorder="1" applyAlignment="1">
      <alignment horizontal="center"/>
    </xf>
    <xf numFmtId="168" fontId="17" fillId="26" borderId="424" xfId="1" applyNumberFormat="1" applyFont="1" applyFill="1" applyBorder="1" applyAlignment="1">
      <alignment horizontal="center"/>
    </xf>
    <xf numFmtId="168" fontId="17" fillId="26" borderId="420"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Fill="1" applyBorder="1" applyAlignment="1">
      <alignment horizontal="center" vertical="center" wrapText="1"/>
    </xf>
    <xf numFmtId="0" fontId="17" fillId="0" borderId="93"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01" fillId="0" borderId="52" xfId="0" applyFont="1" applyFill="1" applyBorder="1" applyAlignment="1">
      <alignment horizontal="center" vertical="center" wrapText="1"/>
    </xf>
    <xf numFmtId="0" fontId="201" fillId="0" borderId="11" xfId="0" applyFont="1" applyFill="1" applyBorder="1" applyAlignment="1">
      <alignment horizontal="center" vertical="center" wrapText="1"/>
    </xf>
    <xf numFmtId="0" fontId="201" fillId="0" borderId="83" xfId="0" applyFont="1" applyFill="1" applyBorder="1" applyAlignment="1">
      <alignment horizontal="center" vertical="center" wrapText="1"/>
    </xf>
    <xf numFmtId="0" fontId="201" fillId="0" borderId="29" xfId="0" applyFont="1" applyFill="1" applyBorder="1" applyAlignment="1">
      <alignment horizontal="center" vertical="center" wrapText="1"/>
    </xf>
    <xf numFmtId="0" fontId="201" fillId="0" borderId="30" xfId="0" applyFont="1" applyFill="1" applyBorder="1" applyAlignment="1">
      <alignment horizontal="center" vertical="center" wrapText="1"/>
    </xf>
    <xf numFmtId="0" fontId="310" fillId="0" borderId="52" xfId="0" applyFont="1" applyFill="1" applyBorder="1" applyAlignment="1">
      <alignment horizontal="center" vertical="center" wrapText="1"/>
    </xf>
    <xf numFmtId="0" fontId="310" fillId="0" borderId="11" xfId="0" applyFont="1" applyFill="1" applyBorder="1" applyAlignment="1">
      <alignment horizontal="center" vertical="center" wrapText="1"/>
    </xf>
    <xf numFmtId="0" fontId="310" fillId="0"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12" fillId="0" borderId="52" xfId="0" applyFont="1" applyFill="1" applyBorder="1" applyAlignment="1">
      <alignment horizontal="center" vertical="center" wrapText="1"/>
    </xf>
    <xf numFmtId="0" fontId="312" fillId="0" borderId="11" xfId="0" applyFont="1" applyFill="1" applyBorder="1" applyAlignment="1">
      <alignment horizontal="center" vertical="center" wrapText="1"/>
    </xf>
    <xf numFmtId="0" fontId="201" fillId="0" borderId="33" xfId="0" applyFont="1" applyFill="1" applyBorder="1" applyAlignment="1">
      <alignment horizontal="center" vertical="center" wrapText="1"/>
    </xf>
    <xf numFmtId="0" fontId="201" fillId="0" borderId="9" xfId="0" applyFont="1" applyFill="1" applyBorder="1" applyAlignment="1">
      <alignment horizontal="center" vertical="center" wrapText="1"/>
    </xf>
    <xf numFmtId="0" fontId="201" fillId="0" borderId="40" xfId="0" applyFont="1" applyFill="1" applyBorder="1" applyAlignment="1">
      <alignment horizontal="center" vertical="center" wrapText="1"/>
    </xf>
    <xf numFmtId="0" fontId="313" fillId="0" borderId="35" xfId="0" applyFont="1" applyFill="1" applyBorder="1" applyAlignment="1">
      <alignment horizontal="center" vertical="center" wrapText="1"/>
    </xf>
    <xf numFmtId="0" fontId="313" fillId="0" borderId="29"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309" fillId="0" borderId="35" xfId="0" applyFont="1" applyBorder="1" applyAlignment="1">
      <alignment horizontal="center" vertical="center" wrapText="1"/>
    </xf>
    <xf numFmtId="0" fontId="309" fillId="0" borderId="29" xfId="0" applyFont="1" applyBorder="1" applyAlignment="1">
      <alignment horizontal="center" vertical="center" wrapText="1"/>
    </xf>
    <xf numFmtId="0" fontId="176" fillId="0" borderId="40" xfId="0" applyFont="1" applyBorder="1" applyAlignment="1">
      <alignment horizontal="center" vertical="center" wrapText="1"/>
    </xf>
    <xf numFmtId="0" fontId="176" fillId="0" borderId="33" xfId="0" applyFont="1" applyBorder="1" applyAlignment="1">
      <alignment horizontal="center" vertical="center" wrapText="1"/>
    </xf>
    <xf numFmtId="0" fontId="176" fillId="0" borderId="9" xfId="0" applyFont="1" applyBorder="1" applyAlignment="1">
      <alignment horizontal="center" vertical="center" wrapText="1"/>
    </xf>
    <xf numFmtId="0" fontId="26" fillId="124" borderId="52" xfId="0" applyFont="1" applyFill="1" applyBorder="1" applyAlignment="1">
      <alignment horizontal="center" vertical="center" wrapText="1"/>
    </xf>
    <xf numFmtId="0" fontId="26" fillId="124" borderId="11" xfId="0" applyFont="1" applyFill="1" applyBorder="1" applyAlignment="1">
      <alignment horizontal="center" vertical="center" wrapText="1"/>
    </xf>
    <xf numFmtId="0" fontId="26" fillId="124" borderId="83" xfId="0" applyFont="1" applyFill="1" applyBorder="1" applyAlignment="1">
      <alignment horizontal="center" vertical="center" wrapText="1"/>
    </xf>
    <xf numFmtId="0" fontId="313" fillId="0" borderId="53" xfId="0" applyFont="1" applyFill="1" applyBorder="1" applyAlignment="1">
      <alignment horizontal="center" vertical="center" wrapText="1"/>
    </xf>
    <xf numFmtId="0" fontId="313" fillId="0" borderId="54" xfId="0" applyFont="1" applyFill="1" applyBorder="1" applyAlignment="1">
      <alignment horizontal="center" vertical="center" wrapText="1"/>
    </xf>
    <xf numFmtId="0" fontId="309" fillId="0" borderId="53" xfId="0" applyFont="1" applyBorder="1" applyAlignment="1">
      <alignment horizontal="center" vertical="center" wrapText="1"/>
    </xf>
    <xf numFmtId="0" fontId="309" fillId="0" borderId="5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76" fillId="0" borderId="52"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83" xfId="0" applyFont="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5" fontId="5" fillId="3" borderId="0" xfId="0" applyNumberFormat="1" applyFont="1" applyFill="1" applyAlignment="1">
      <alignment horizontal="center"/>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12">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ANCLAS,REZONES Y SUS PARTES,DE FUNDICION,DE HIERRO O DE ACERO" xfId="107" xr:uid="{26595332-C7E8-423F-9BD7-E447D57322BF}"/>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2 2" xfId="109" xr:uid="{B94F29EC-4530-4FEE-9E39-B41676E0D653}"/>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2 2" xfId="106" xr:uid="{EDC63AC7-D663-463C-98C0-1C1279FF65B8}"/>
    <cellStyle name="Millares 2 3" xfId="110" xr:uid="{44ADD697-8004-4E03-886A-9DDB0F3A9E49}"/>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illares 4 2" xfId="111" xr:uid="{1DAD6E2F-3AA4-4874-9514-EB56A985EAE8}"/>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4 2" xfId="108" xr:uid="{6C5F172C-7D0A-4D3A-9CC3-BE6A5398D5F2}"/>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15">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theme="0" tint="-0.24994659260841701"/>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2" defaultPivotStyle="PivotStyleLight16">
    <tableStyle name="Estilo de segmentación de datos 1 2 2 2 3 2 2 5 2 2 2 2 2" pivot="0" table="0" count="7" xr9:uid="{00000000-0011-0000-FFFF-FFFF00000000}">
      <tableStyleElement type="wholeTable" dxfId="114"/>
      <tableStyleElement type="headerRow" dxfId="113"/>
    </tableStyle>
    <tableStyle name="Estilo de segmentación de datos 1 2 2 2 3 2 2 5 2 2 2 2 2 10" pivot="0" table="0" count="7" xr9:uid="{00000000-0011-0000-FFFF-FFFF01000000}">
      <tableStyleElement type="wholeTable" dxfId="112"/>
      <tableStyleElement type="headerRow" dxfId="111"/>
    </tableStyle>
    <tableStyle name="Estilo de segmentación de datos 1 2 2 2 3 2 2 5 2 2 2 2 2 11" pivot="0" table="0" count="7" xr9:uid="{00000000-0011-0000-FFFF-FFFF02000000}">
      <tableStyleElement type="wholeTable" dxfId="110"/>
      <tableStyleElement type="headerRow" dxfId="109"/>
    </tableStyle>
    <tableStyle name="Estilo de segmentación de datos 1 2 2 2 3 2 2 5 2 2 2 2 2 12" pivot="0" table="0" count="7" xr9:uid="{00000000-0011-0000-FFFF-FFFF03000000}">
      <tableStyleElement type="wholeTable" dxfId="108"/>
      <tableStyleElement type="headerRow" dxfId="107"/>
    </tableStyle>
    <tableStyle name="Estilo de segmentación de datos 1 2 2 2 3 2 2 5 2 2 2 2 2 13" pivot="0" table="0" count="7" xr9:uid="{00000000-0011-0000-FFFF-FFFF04000000}">
      <tableStyleElement type="wholeTable" dxfId="106"/>
      <tableStyleElement type="headerRow" dxfId="105"/>
    </tableStyle>
    <tableStyle name="Estilo de segmentación de datos 1 2 2 2 3 2 2 5 2 2 2 2 2 14" pivot="0" table="0" count="7" xr9:uid="{00000000-0011-0000-FFFF-FFFF05000000}">
      <tableStyleElement type="wholeTable" dxfId="104"/>
      <tableStyleElement type="headerRow" dxfId="103"/>
    </tableStyle>
    <tableStyle name="Estilo de segmentación de datos 1 2 2 2 3 2 2 5 2 2 2 2 2 15" pivot="0" table="0" count="7" xr9:uid="{00000000-0011-0000-FFFF-FFFF06000000}">
      <tableStyleElement type="wholeTable" dxfId="102"/>
      <tableStyleElement type="headerRow" dxfId="101"/>
    </tableStyle>
    <tableStyle name="Estilo de segmentación de datos 1 2 2 2 3 2 2 5 2 2 2 2 2 2" pivot="0" table="0" count="7" xr9:uid="{00000000-0011-0000-FFFF-FFFF07000000}">
      <tableStyleElement type="wholeTable" dxfId="100"/>
      <tableStyleElement type="headerRow" dxfId="99"/>
    </tableStyle>
    <tableStyle name="Estilo de segmentación de datos 1 2 2 2 3 2 2 5 2 2 2 2 2 3" pivot="0" table="0" count="7" xr9:uid="{00000000-0011-0000-FFFF-FFFF08000000}">
      <tableStyleElement type="wholeTable" dxfId="98"/>
      <tableStyleElement type="headerRow" dxfId="97"/>
    </tableStyle>
    <tableStyle name="Estilo de segmentación de datos 1 2 2 2 3 2 2 5 2 2 2 2 2 4" pivot="0" table="0" count="7" xr9:uid="{00000000-0011-0000-FFFF-FFFF09000000}">
      <tableStyleElement type="wholeTable" dxfId="96"/>
      <tableStyleElement type="headerRow" dxfId="95"/>
    </tableStyle>
    <tableStyle name="Estilo de segmentación de datos 1 2 2 2 3 2 2 5 2 2 2 2 2 5" pivot="0" table="0" count="7" xr9:uid="{00000000-0011-0000-FFFF-FFFF0A000000}">
      <tableStyleElement type="wholeTable" dxfId="94"/>
      <tableStyleElement type="headerRow" dxfId="93"/>
    </tableStyle>
    <tableStyle name="Estilo de segmentación de datos 1 2 2 2 3 2 2 5 2 2 2 2 2 6" pivot="0" table="0" count="7" xr9:uid="{00000000-0011-0000-FFFF-FFFF0B000000}">
      <tableStyleElement type="wholeTable" dxfId="92"/>
      <tableStyleElement type="headerRow" dxfId="91"/>
    </tableStyle>
    <tableStyle name="Estilo de segmentación de datos 1 2 2 2 3 2 2 5 2 2 2 2 2 7" pivot="0" table="0" count="7" xr9:uid="{00000000-0011-0000-FFFF-FFFF0C000000}">
      <tableStyleElement type="wholeTable" dxfId="90"/>
      <tableStyleElement type="headerRow" dxfId="89"/>
    </tableStyle>
    <tableStyle name="Estilo de segmentación de datos 1 2 2 2 3 2 2 5 2 2 2 2 2 8" pivot="0" table="0" count="7" xr9:uid="{00000000-0011-0000-FFFF-FFFF0D000000}">
      <tableStyleElement type="wholeTable" dxfId="88"/>
      <tableStyleElement type="headerRow" dxfId="87"/>
    </tableStyle>
    <tableStyle name="Estilo de segmentación de datos 1 2 2 2 3 2 2 5 2 2 2 2 2 9" pivot="0" table="0" count="7" xr9:uid="{00000000-0011-0000-FFFF-FFFF0E000000}">
      <tableStyleElement type="wholeTable" dxfId="86"/>
      <tableStyleElement type="headerRow" dxfId="85"/>
    </tableStyle>
    <tableStyle name="Estilo de segmentación de datos 1 2 2 2 3 2 2 5 3" pivot="0" table="0" count="4" xr9:uid="{00000000-0011-0000-FFFF-FFFF0F000000}">
      <tableStyleElement type="wholeTable" dxfId="84"/>
    </tableStyle>
    <tableStyle name="Estilo de segmentación de datos 1 2 2 2 3 2 2 5 3 2" pivot="0" table="0" count="4" xr9:uid="{00000000-0011-0000-FFFF-FFFF10000000}">
      <tableStyleElement type="wholeTable" dxfId="83"/>
    </tableStyle>
    <tableStyle name="Estilo de segmentación de datos 1 2 2 2 3 2 2 5 3 3" pivot="0" table="0" count="4" xr9:uid="{00000000-0011-0000-FFFF-FFFF11000000}">
      <tableStyleElement type="wholeTable" dxfId="82"/>
    </tableStyle>
    <tableStyle name="Estilo de segmentación de datos 1 2 2 2 3 2 2 5 3 4" pivot="0" table="0" count="4" xr9:uid="{00000000-0011-0000-FFFF-FFFF12000000}">
      <tableStyleElement type="wholeTable" dxfId="81"/>
    </tableStyle>
  </tableStyles>
  <colors>
    <mruColors>
      <color rgb="FFFFFF99"/>
      <color rgb="FFFD91EB"/>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4.xml"/><Relationship Id="rId66" Type="http://schemas.microsoft.com/office/2017/10/relationships/person" Target="persons/person.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5.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6.xml"/><Relationship Id="rId65"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5.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4.xml"/><Relationship Id="rId1" Type="http://schemas.microsoft.com/office/2011/relationships/chartStyle" Target="style64.xml"/></Relationships>
</file>

<file path=xl/charts/_rels/chart67.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6.xml"/><Relationship Id="rId1" Type="http://schemas.microsoft.com/office/2011/relationships/chartStyle" Target="style66.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69.xml"/><Relationship Id="rId1" Type="http://schemas.microsoft.com/office/2011/relationships/chartStyle" Target="style69.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70.xml"/><Relationship Id="rId1" Type="http://schemas.microsoft.com/office/2011/relationships/chartStyle" Target="style70.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71.xml"/><Relationship Id="rId1" Type="http://schemas.microsoft.com/office/2011/relationships/chartStyle" Target="style71.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72.xml"/><Relationship Id="rId1" Type="http://schemas.microsoft.com/office/2011/relationships/chartStyle" Target="style72.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73.xml"/><Relationship Id="rId1" Type="http://schemas.microsoft.com/office/2011/relationships/chartStyle" Target="style73.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74.xml"/><Relationship Id="rId1" Type="http://schemas.microsoft.com/office/2011/relationships/chartStyle" Target="style74.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75.xml"/><Relationship Id="rId1" Type="http://schemas.microsoft.com/office/2011/relationships/chartStyle" Target="style75.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'!$E$3:$Q$3</c:f>
              <c:strCache>
                <c:ptCount val="8"/>
                <c:pt idx="0">
                  <c:v>2015</c:v>
                </c:pt>
                <c:pt idx="1">
                  <c:v>2016</c:v>
                </c:pt>
                <c:pt idx="2">
                  <c:v>2017</c:v>
                </c:pt>
                <c:pt idx="3">
                  <c:v>2018</c:v>
                </c:pt>
                <c:pt idx="4">
                  <c:v>2019</c:v>
                </c:pt>
                <c:pt idx="5">
                  <c:v>2020</c:v>
                </c:pt>
                <c:pt idx="6">
                  <c:v>2021</c:v>
                </c:pt>
                <c:pt idx="7">
                  <c:v>2022 (e)</c:v>
                </c:pt>
              </c:strCache>
            </c:strRef>
          </c:cat>
          <c:val>
            <c:numRef>
              <c:f>'Llegadas '!$E$16:$Q$16</c:f>
              <c:numCache>
                <c:formatCode>#,##0</c:formatCode>
                <c:ptCount val="8"/>
                <c:pt idx="0">
                  <c:v>712877</c:v>
                </c:pt>
                <c:pt idx="1">
                  <c:v>627626</c:v>
                </c:pt>
                <c:pt idx="2">
                  <c:v>652931</c:v>
                </c:pt>
                <c:pt idx="3">
                  <c:v>692492</c:v>
                </c:pt>
                <c:pt idx="4">
                  <c:v>684390</c:v>
                </c:pt>
                <c:pt idx="5">
                  <c:v>190417</c:v>
                </c:pt>
                <c:pt idx="6">
                  <c:v>280996</c:v>
                </c:pt>
                <c:pt idx="7">
                  <c:v>478391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'!$E$20:$Q$20</c:f>
              <c:numCache>
                <c:formatCode>0.0%</c:formatCode>
                <c:ptCount val="8"/>
                <c:pt idx="0">
                  <c:v>1.4028150181717214E-2</c:v>
                </c:pt>
                <c:pt idx="1">
                  <c:v>-0.11958724997439951</c:v>
                </c:pt>
                <c:pt idx="2">
                  <c:v>4.0318597381242993E-2</c:v>
                </c:pt>
                <c:pt idx="3">
                  <c:v>6.0589863247418219E-2</c:v>
                </c:pt>
                <c:pt idx="4">
                  <c:v>-1.1699774149015463E-2</c:v>
                </c:pt>
                <c:pt idx="5">
                  <c:v>-0.72177121232046049</c:v>
                </c:pt>
                <c:pt idx="6">
                  <c:v>0.47568756991235017</c:v>
                </c:pt>
                <c:pt idx="7">
                  <c:v>0.70248330937095194</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AMS'!$B$260</c:f>
              <c:strCache>
                <c:ptCount val="1"/>
                <c:pt idx="0">
                  <c:v>Variación arribos domésticos
2021-2022</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7.0413008674817769E-3"/>
                  <c:y val="-5.6553026254853866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7924796613387624E-2"/>
                  <c:y val="-6.2208328880339246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4.0454894060931133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5.1592758458747584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4.7416059309566418E-2"/>
                  <c:y val="-7.9174236756795274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layout>
                <c:manualLayout>
                  <c:x val="-2.7788971672552048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B5-463A-9C88-075087C42BDB}"/>
                </c:ext>
              </c:extLst>
            </c:dLbl>
            <c:dLbl>
              <c:idx val="10"/>
              <c:layout>
                <c:manualLayout>
                  <c:x val="-3.2491321016492374E-2"/>
                  <c:y val="-0.13572726301164914"/>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86-4A8C-9B8B-A81AD648CE20}"/>
                </c:ext>
              </c:extLst>
            </c:dLbl>
            <c:dLbl>
              <c:idx val="11"/>
              <c:layout>
                <c:manualLayout>
                  <c:x val="-2.8740404006298799E-2"/>
                  <c:y val="-0.12441665776067828"/>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AMS'!$C$260:$N$260</c:f>
              <c:numCache>
                <c:formatCode>0.00%</c:formatCode>
                <c:ptCount val="12"/>
                <c:pt idx="0">
                  <c:v>1.0554855477671889</c:v>
                </c:pt>
                <c:pt idx="1">
                  <c:v>1.3900060345331022</c:v>
                </c:pt>
                <c:pt idx="2">
                  <c:v>1.5671902064510088</c:v>
                </c:pt>
                <c:pt idx="3">
                  <c:v>1.8863849272012536</c:v>
                </c:pt>
                <c:pt idx="4">
                  <c:v>2.0203523714668408</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99"/>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9"/>
          <c:order val="0"/>
          <c:tx>
            <c:strRef>
              <c:f>'Datos Aeropuerto AMS'!$A$237</c:f>
              <c:strCache>
                <c:ptCount val="1"/>
                <c:pt idx="0">
                  <c:v>Total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AMS'!$C$237:$N$237</c:f>
              <c:numCache>
                <c:formatCode>#,##0</c:formatCode>
                <c:ptCount val="12"/>
                <c:pt idx="0">
                  <c:v>107695</c:v>
                </c:pt>
                <c:pt idx="1">
                  <c:v>123747</c:v>
                </c:pt>
                <c:pt idx="2">
                  <c:v>163068</c:v>
                </c:pt>
                <c:pt idx="3">
                  <c:v>178814</c:v>
                </c:pt>
                <c:pt idx="4">
                  <c:v>187269</c:v>
                </c:pt>
              </c:numCache>
            </c:numRef>
          </c:val>
          <c:smooth val="0"/>
          <c:extLst>
            <c:ext xmlns:c16="http://schemas.microsoft.com/office/drawing/2014/chart" uri="{C3380CC4-5D6E-409C-BE32-E72D297353CC}">
              <c16:uniqueId val="{00000002-2BEE-43CF-97DC-5339EF7CF0F7}"/>
            </c:ext>
          </c:extLst>
        </c:ser>
        <c:ser>
          <c:idx val="18"/>
          <c:order val="1"/>
          <c:tx>
            <c:strRef>
              <c:f>'Datos Aeropuerto AMS'!$A$226</c:f>
              <c:strCache>
                <c:ptCount val="1"/>
                <c:pt idx="0">
                  <c:v>Total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AMS'!$C$226:$N$226</c:f>
              <c:numCache>
                <c:formatCode>#,##0</c:formatCode>
                <c:ptCount val="12"/>
                <c:pt idx="0">
                  <c:v>53113</c:v>
                </c:pt>
                <c:pt idx="1">
                  <c:v>47248</c:v>
                </c:pt>
                <c:pt idx="2">
                  <c:v>60839</c:v>
                </c:pt>
                <c:pt idx="3">
                  <c:v>56436</c:v>
                </c:pt>
                <c:pt idx="4">
                  <c:v>69602</c:v>
                </c:pt>
                <c:pt idx="5">
                  <c:v>93520</c:v>
                </c:pt>
                <c:pt idx="6">
                  <c:v>122888</c:v>
                </c:pt>
                <c:pt idx="7">
                  <c:v>122234</c:v>
                </c:pt>
                <c:pt idx="8">
                  <c:v>116749</c:v>
                </c:pt>
                <c:pt idx="9">
                  <c:v>128104</c:v>
                </c:pt>
                <c:pt idx="10">
                  <c:v>137893</c:v>
                </c:pt>
                <c:pt idx="11">
                  <c:v>145040</c:v>
                </c:pt>
              </c:numCache>
            </c:numRef>
          </c:val>
          <c:smooth val="0"/>
          <c:extLst>
            <c:ext xmlns:c16="http://schemas.microsoft.com/office/drawing/2014/chart" uri="{C3380CC4-5D6E-409C-BE32-E72D297353CC}">
              <c16:uniqueId val="{00000000-A103-4B7D-9C80-AF5D0AC74B63}"/>
            </c:ext>
          </c:extLst>
        </c:ser>
        <c:ser>
          <c:idx val="17"/>
          <c:order val="2"/>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3"/>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4"/>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5"/>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6"/>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8"/>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9"/>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10"/>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1"/>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2"/>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3"/>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4"/>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5"/>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6"/>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7"/>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8"/>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9"/>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AMS'!$A$250</c:f>
          <c:strCache>
            <c:ptCount val="1"/>
            <c:pt idx="0">
              <c:v>INTERNACIONAL</c:v>
            </c:pt>
          </c:strCache>
        </c:strRef>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9"/>
          <c:order val="0"/>
          <c:tx>
            <c:strRef>
              <c:f>'Datos Aeropuerto AMS'!$A$233:$O$233</c:f>
              <c:strCache>
                <c:ptCount val="15"/>
                <c:pt idx="0">
                  <c:v>ARRIVING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AMS'!$C$235:$N$235</c:f>
              <c:numCache>
                <c:formatCode>#,##0</c:formatCode>
                <c:ptCount val="12"/>
                <c:pt idx="0">
                  <c:v>55498</c:v>
                </c:pt>
                <c:pt idx="1">
                  <c:v>53167</c:v>
                </c:pt>
                <c:pt idx="2">
                  <c:v>66494</c:v>
                </c:pt>
                <c:pt idx="3">
                  <c:v>68485</c:v>
                </c:pt>
                <c:pt idx="4">
                  <c:v>77231</c:v>
                </c:pt>
              </c:numCache>
            </c:numRef>
          </c:val>
          <c:smooth val="0"/>
          <c:extLst>
            <c:ext xmlns:c16="http://schemas.microsoft.com/office/drawing/2014/chart" uri="{C3380CC4-5D6E-409C-BE32-E72D297353CC}">
              <c16:uniqueId val="{00000003-11A1-4346-A4DE-2DC72E7EE74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62082</c:v>
                </c:pt>
                <c:pt idx="8">
                  <c:v>56619</c:v>
                </c:pt>
                <c:pt idx="9">
                  <c:v>59186</c:v>
                </c:pt>
                <c:pt idx="10">
                  <c:v>69540</c:v>
                </c:pt>
                <c:pt idx="11">
                  <c:v>64544</c:v>
                </c:pt>
              </c:numCache>
            </c:numRef>
          </c:val>
          <c:smooth val="0"/>
          <c:extLst>
            <c:ext xmlns:c16="http://schemas.microsoft.com/office/drawing/2014/chart" uri="{C3380CC4-5D6E-409C-BE32-E72D297353CC}">
              <c16:uniqueId val="{00000002-AE80-46FA-BDBE-2002388CA3DD}"/>
            </c:ext>
          </c:extLst>
        </c:ser>
        <c:ser>
          <c:idx val="17"/>
          <c:order val="2"/>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3"/>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4"/>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ser>
          <c:idx val="14"/>
          <c:order val="5"/>
          <c:tx>
            <c:strRef>
              <c:f>'Datos Aeropuerto AMS'!$A$173:$P$173</c:f>
              <c:strCache>
                <c:ptCount val="16"/>
                <c:pt idx="0">
                  <c:v>ARRIVING 2017</c:v>
                </c:pt>
              </c:strCache>
              <c:extLst xmlns:c15="http://schemas.microsoft.com/office/drawing/2012/chart"/>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xmlns:c15="http://schemas.microsoft.com/office/drawing/2012/char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AMS'!$C$175:$N$175</c:f>
              <c:extLst xmlns:c15="http://schemas.microsoft.com/office/drawing/2012/chart"/>
            </c:numRef>
          </c:val>
          <c:smooth val="0"/>
          <c:extLst xmlns:c15="http://schemas.microsoft.com/office/drawing/2012/chart">
            <c:ext xmlns:c16="http://schemas.microsoft.com/office/drawing/2014/chart" uri="{C3380CC4-5D6E-409C-BE32-E72D297353CC}">
              <c16:uniqueId val="{00000002-E20B-4F44-825E-004BA7A65194}"/>
            </c:ext>
          </c:extLst>
        </c:ser>
        <c:ser>
          <c:idx val="0"/>
          <c:order val="6"/>
          <c:tx>
            <c:strRef>
              <c:f>'Datos Aeropuerto AMS'!$A$161:$P$161</c:f>
              <c:strCache>
                <c:ptCount val="16"/>
                <c:pt idx="0">
                  <c:v>ARRIVING 2016</c:v>
                </c:pt>
              </c:strCache>
              <c:extLst xmlns:c15="http://schemas.microsoft.com/office/drawing/2012/chart"/>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AMS'!$C$163:$N$163</c:f>
              <c:extLst xmlns:c15="http://schemas.microsoft.com/office/drawing/2012/chart"/>
            </c:numRef>
          </c:val>
          <c:smooth val="0"/>
          <c:extLst xmlns:c15="http://schemas.microsoft.com/office/drawing/2012/chart">
            <c:ext xmlns:c16="http://schemas.microsoft.com/office/drawing/2014/chart" uri="{C3380CC4-5D6E-409C-BE32-E72D297353CC}">
              <c16:uniqueId val="{00000003-E20B-4F44-825E-004BA7A65194}"/>
            </c:ext>
          </c:extLst>
        </c:ser>
        <c:ser>
          <c:idx val="1"/>
          <c:order val="7"/>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8"/>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9"/>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10"/>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11"/>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2"/>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3"/>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4"/>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5"/>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6"/>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7"/>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8"/>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9"/>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AMS'!$A$256</c:f>
          <c:strCache>
            <c:ptCount val="1"/>
            <c:pt idx="0">
              <c:v>DOMESTICO</c:v>
            </c:pt>
          </c:strCache>
        </c:strRef>
      </c:tx>
      <c:overlay val="0"/>
      <c:spPr>
        <a:noFill/>
        <a:ln>
          <a:noFill/>
        </a:ln>
        <a:effectLst/>
      </c:spPr>
      <c:txPr>
        <a:bodyPr rot="0" spcFirstLastPara="1" vertOverflow="ellipsis" vert="horz" wrap="square" anchor="ctr" anchorCtr="1"/>
        <a:lstStyle/>
        <a:p>
          <a:pPr>
            <a:defRPr sz="96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9"/>
          <c:order val="0"/>
          <c:tx>
            <c:strRef>
              <c:f>'Datos Aeropuerto AMS'!$A$233:$O$233</c:f>
              <c:strCache>
                <c:ptCount val="15"/>
                <c:pt idx="0">
                  <c:v>ARRIVING 2022</c:v>
                </c:pt>
              </c:strCache>
            </c:strRef>
          </c:tx>
          <c:spPr>
            <a:ln w="22225" cap="rnd">
              <a:solidFill>
                <a:schemeClr val="accent2">
                  <a:lumMod val="80000"/>
                </a:schemeClr>
              </a:solidFill>
              <a:round/>
            </a:ln>
            <a:effectLst/>
          </c:spPr>
          <c:marker>
            <c:symbol val="square"/>
            <c:size val="6"/>
            <c:spPr>
              <a:solidFill>
                <a:schemeClr val="accent2">
                  <a:lumMod val="80000"/>
                </a:schemeClr>
              </a:solidFill>
              <a:ln w="9525">
                <a:solidFill>
                  <a:schemeClr val="accent2">
                    <a:lumMod val="80000"/>
                  </a:schemeClr>
                </a:solidFill>
                <a:round/>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AMS'!$C$236:$N$236</c:f>
              <c:numCache>
                <c:formatCode>#,##0</c:formatCode>
                <c:ptCount val="12"/>
                <c:pt idx="0">
                  <c:v>52197</c:v>
                </c:pt>
                <c:pt idx="1">
                  <c:v>70580</c:v>
                </c:pt>
                <c:pt idx="2">
                  <c:v>96574</c:v>
                </c:pt>
                <c:pt idx="3">
                  <c:v>110329</c:v>
                </c:pt>
                <c:pt idx="4">
                  <c:v>110038</c:v>
                </c:pt>
              </c:numCache>
            </c:numRef>
          </c:val>
          <c:smooth val="0"/>
          <c:extLst>
            <c:ext xmlns:c16="http://schemas.microsoft.com/office/drawing/2014/chart" uri="{C3380CC4-5D6E-409C-BE32-E72D297353CC}">
              <c16:uniqueId val="{00000001-C83B-4132-8385-4C69A6BC8AB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diamond"/>
            <c:size val="6"/>
            <c:spPr>
              <a:solidFill>
                <a:schemeClr val="accent1">
                  <a:lumMod val="80000"/>
                </a:schemeClr>
              </a:solidFill>
              <a:ln w="12700">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pt idx="8">
                  <c:v>60130</c:v>
                </c:pt>
                <c:pt idx="9">
                  <c:v>68918</c:v>
                </c:pt>
                <c:pt idx="10">
                  <c:v>68353</c:v>
                </c:pt>
                <c:pt idx="11">
                  <c:v>80496</c:v>
                </c:pt>
              </c:numCache>
            </c:numRef>
          </c:val>
          <c:smooth val="0"/>
          <c:extLst>
            <c:ext xmlns:c16="http://schemas.microsoft.com/office/drawing/2014/chart" uri="{C3380CC4-5D6E-409C-BE32-E72D297353CC}">
              <c16:uniqueId val="{00000000-C740-408F-A2FD-E9E133E8F56A}"/>
            </c:ext>
          </c:extLst>
        </c:ser>
        <c:ser>
          <c:idx val="17"/>
          <c:order val="2"/>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3"/>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4"/>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ser>
          <c:idx val="14"/>
          <c:order val="5"/>
          <c:tx>
            <c:strRef>
              <c:f>'Datos Aeropuerto AMS'!$A$173:$P$173</c:f>
              <c:strCache>
                <c:ptCount val="16"/>
                <c:pt idx="0">
                  <c:v>ARRIVING 2017</c:v>
                </c:pt>
              </c:strCache>
              <c:extLst xmlns:c15="http://schemas.microsoft.com/office/drawing/2012/chart"/>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AMS'!$C$177:$N$177</c:f>
              <c:extLst xmlns:c15="http://schemas.microsoft.com/office/drawing/2012/chart"/>
            </c:numRef>
          </c:val>
          <c:smooth val="0"/>
          <c:extLst xmlns:c15="http://schemas.microsoft.com/office/drawing/2012/chart">
            <c:ext xmlns:c16="http://schemas.microsoft.com/office/drawing/2014/chart" uri="{C3380CC4-5D6E-409C-BE32-E72D297353CC}">
              <c16:uniqueId val="{00000001-6C07-44BB-8AD6-2872F2A19E68}"/>
            </c:ext>
          </c:extLst>
        </c:ser>
        <c:ser>
          <c:idx val="0"/>
          <c:order val="6"/>
          <c:tx>
            <c:strRef>
              <c:f>'Datos Aeropuerto AMS'!$A$161:$P$161</c:f>
              <c:strCache>
                <c:ptCount val="16"/>
                <c:pt idx="0">
                  <c:v>ARRIVING 2016</c:v>
                </c:pt>
              </c:strCache>
              <c:extLst xmlns:c15="http://schemas.microsoft.com/office/drawing/2012/chart"/>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AMS'!$C$165:$N$165</c:f>
              <c:extLst xmlns:c15="http://schemas.microsoft.com/office/drawing/2012/chart"/>
            </c:numRef>
          </c:val>
          <c:smooth val="0"/>
          <c:extLst xmlns:c15="http://schemas.microsoft.com/office/drawing/2012/chart">
            <c:ext xmlns:c16="http://schemas.microsoft.com/office/drawing/2014/chart" uri="{C3380CC4-5D6E-409C-BE32-E72D297353CC}">
              <c16:uniqueId val="{00000002-6C07-44BB-8AD6-2872F2A19E68}"/>
            </c:ext>
          </c:extLst>
        </c:ser>
        <c:ser>
          <c:idx val="1"/>
          <c:order val="7"/>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8"/>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9"/>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10"/>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11"/>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2"/>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3"/>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4"/>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5"/>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6"/>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7"/>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8"/>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9"/>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7.991493412214062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800"/>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789983651135172E-3"/>
                  <c:y val="4.317789291882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8B-4204-B4E4-3154772EFD28}"/>
                </c:ext>
              </c:extLst>
            </c:dLbl>
            <c:dLbl>
              <c:idx val="1"/>
              <c:layout>
                <c:manualLayout>
                  <c:x val="-2.789983651135172E-3"/>
                  <c:y val="3.8860103626943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8B-4204-B4E4-3154772EFD28}"/>
                </c:ext>
              </c:extLst>
            </c:dLbl>
            <c:dLbl>
              <c:idx val="2"/>
              <c:layout>
                <c:manualLayout>
                  <c:x val="-5.5799673022703441E-3"/>
                  <c:y val="-4.317789291882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8B-4204-B4E4-3154772EFD28}"/>
                </c:ext>
              </c:extLst>
            </c:dLbl>
            <c:dLbl>
              <c:idx val="3"/>
              <c:layout>
                <c:manualLayout>
                  <c:x val="2.6504844685784134E-2"/>
                  <c:y val="6.4766839378238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8B-4204-B4E4-3154772EFD28}"/>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AMS'!$P$223,'Datos Aeropuerto AMS'!$P$235)</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AMS'!$P$223,'Datos Aeropuerto AMS'!$P$235)</c:f>
              <c:numCache>
                <c:formatCode>_ * #,##0_ ;_ * \-#,##0_ ;_ * "-"??_ ;_ @_ </c:formatCode>
                <c:ptCount val="4"/>
                <c:pt idx="0">
                  <c:v>1180914</c:v>
                </c:pt>
                <c:pt idx="1">
                  <c:v>344539</c:v>
                </c:pt>
                <c:pt idx="2">
                  <c:v>577049</c:v>
                </c:pt>
                <c:pt idx="3">
                  <c:v>320875</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5400" cap="flat" cmpd="sng" algn="ctr">
              <a:solidFill>
                <a:schemeClr val="accent2"/>
              </a:solidFill>
              <a:prstDash val="solid"/>
              <a:round/>
            </a:ln>
            <a:effectLst/>
          </c:spPr>
          <c:marker>
            <c:symbol val="circle"/>
            <c:size val="5"/>
            <c:spPr>
              <a:solidFill>
                <a:schemeClr val="lt1"/>
              </a:solidFill>
              <a:ln w="25400" cap="flat" cmpd="sng" algn="ctr">
                <a:solidFill>
                  <a:schemeClr val="accent2"/>
                </a:solidFill>
                <a:prstDash val="solid"/>
              </a:ln>
              <a:effectLst/>
            </c:spPr>
          </c:marker>
          <c:dLbls>
            <c:dLbl>
              <c:idx val="2"/>
              <c:layout>
                <c:manualLayout>
                  <c:x val="4.1849754767027576E-3"/>
                  <c:y val="8.6355785837651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8B-4204-B4E4-3154772EFD28}"/>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AMS'!$P$225,'Datos Aeropuerto AMS'!$P$236)</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AMS'!$P$225,'Datos Aeropuerto AMS'!$P$236)</c:f>
              <c:numCache>
                <c:formatCode>_ * #,##0_ ;_ * \-#,##0_ ;_ * "-"??_ ;_ @_ </c:formatCode>
                <c:ptCount val="4"/>
                <c:pt idx="0">
                  <c:v>1321875</c:v>
                </c:pt>
                <c:pt idx="1">
                  <c:v>403757</c:v>
                </c:pt>
                <c:pt idx="2">
                  <c:v>576617</c:v>
                </c:pt>
                <c:pt idx="3">
                  <c:v>439718</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0"/>
                  <c:y val="-6.0449050086355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8B-4204-B4E4-3154772EFD28}"/>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AMS'!$P$226,'Datos Aeropuerto AMS'!$P$237)</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AMS'!$P$226,'Datos Aeropuerto AMS'!$P$237)</c:f>
              <c:numCache>
                <c:formatCode>#,##0</c:formatCode>
                <c:ptCount val="4"/>
                <c:pt idx="0">
                  <c:v>2502789</c:v>
                </c:pt>
                <c:pt idx="1">
                  <c:v>748296</c:v>
                </c:pt>
                <c:pt idx="2">
                  <c:v>1153666</c:v>
                </c:pt>
                <c:pt idx="3">
                  <c:v>760593</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C"/>
                  <a:t>Fuente: Estadísticas Quiport, operador del AIMS</a:t>
                </a:r>
              </a:p>
            </c:rich>
          </c:tx>
          <c:layout>
            <c:manualLayout>
              <c:xMode val="edge"/>
              <c:yMode val="edge"/>
              <c:x val="3.8693009091831758E-2"/>
              <c:y val="0.921394475949573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789983651135172E-3"/>
                  <c:y val="4.317789291882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81-48B2-9E47-9C458703A155}"/>
                </c:ext>
              </c:extLst>
            </c:dLbl>
            <c:dLbl>
              <c:idx val="1"/>
              <c:layout>
                <c:manualLayout>
                  <c:x val="-2.789983651135172E-3"/>
                  <c:y val="3.8860103626943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81-48B2-9E47-9C458703A155}"/>
                </c:ext>
              </c:extLst>
            </c:dLbl>
            <c:dLbl>
              <c:idx val="2"/>
              <c:layout>
                <c:manualLayout>
                  <c:x val="-5.5799673022703441E-3"/>
                  <c:y val="-4.317789291882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81-48B2-9E47-9C458703A155}"/>
                </c:ext>
              </c:extLst>
            </c:dLbl>
            <c:dLbl>
              <c:idx val="3"/>
              <c:layout>
                <c:manualLayout>
                  <c:x val="2.6504844685784134E-2"/>
                  <c:y val="6.4766839378238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81-48B2-9E47-9C458703A155}"/>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6"/>
                <c:pt idx="0">
                  <c:v>ARRIVING 2019</c:v>
                </c:pt>
                <c:pt idx="15">
                  <c:v>ARRIVING 2020</c:v>
                </c:pt>
                <c:pt idx="30">
                  <c:v>ARRIVING 2021</c:v>
                </c:pt>
                <c:pt idx="45">
                  <c:v>ARRIVING 2022</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AMS'!$P$223,'Datos Aeropuerto AMS'!$Q$235)</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AMS'!$P$223,'Datos Aeropuerto AMS'!$Q$235)</c:f>
              <c:numCache>
                <c:formatCode>_ * #,##0_ ;_ * \-#,##0_ ;_ * "-"??_ ;_ @_ </c:formatCode>
                <c:ptCount val="4"/>
                <c:pt idx="0">
                  <c:v>1180914</c:v>
                </c:pt>
                <c:pt idx="1">
                  <c:v>344539</c:v>
                </c:pt>
                <c:pt idx="2">
                  <c:v>577049</c:v>
                </c:pt>
                <c:pt idx="3" formatCode="#,##0">
                  <c:v>175159</c:v>
                </c:pt>
              </c:numCache>
            </c:numRef>
          </c:val>
          <c:smooth val="0"/>
          <c:extLst>
            <c:ext xmlns:c16="http://schemas.microsoft.com/office/drawing/2014/chart" uri="{C3380CC4-5D6E-409C-BE32-E72D297353CC}">
              <c16:uniqueId val="{00000004-5C81-48B2-9E47-9C458703A155}"/>
            </c:ext>
          </c:extLst>
        </c:ser>
        <c:ser>
          <c:idx val="1"/>
          <c:order val="1"/>
          <c:tx>
            <c:strRef>
              <c:f>'Datos Aeropuerto AMS'!$A$230</c:f>
              <c:strCache>
                <c:ptCount val="1"/>
                <c:pt idx="0">
                  <c:v>DOMESTIC</c:v>
                </c:pt>
              </c:strCache>
            </c:strRef>
          </c:tx>
          <c:spPr>
            <a:ln w="25400" cap="flat" cmpd="sng" algn="ctr">
              <a:solidFill>
                <a:schemeClr val="accent2"/>
              </a:solidFill>
              <a:prstDash val="solid"/>
              <a:round/>
            </a:ln>
            <a:effectLst/>
          </c:spPr>
          <c:marker>
            <c:symbol val="circle"/>
            <c:size val="5"/>
            <c:spPr>
              <a:solidFill>
                <a:schemeClr val="lt1"/>
              </a:solidFill>
              <a:ln w="25400" cap="flat" cmpd="sng" algn="ctr">
                <a:solidFill>
                  <a:schemeClr val="accent2"/>
                </a:solidFill>
                <a:prstDash val="solid"/>
              </a:ln>
              <a:effectLst/>
            </c:spPr>
          </c:marker>
          <c:dLbls>
            <c:dLbl>
              <c:idx val="2"/>
              <c:layout>
                <c:manualLayout>
                  <c:x val="4.1849754767027576E-3"/>
                  <c:y val="8.6355785837651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81-48B2-9E47-9C458703A155}"/>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6"/>
                <c:pt idx="0">
                  <c:v>ARRIVING 2019</c:v>
                </c:pt>
                <c:pt idx="15">
                  <c:v>ARRIVING 2020</c:v>
                </c:pt>
                <c:pt idx="30">
                  <c:v>ARRIVING 2021</c:v>
                </c:pt>
                <c:pt idx="45">
                  <c:v>ARRIVING 2022</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AMS'!$P$225,'Datos Aeropuerto AMS'!$Q$236)</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AMS'!$P$225,'Datos Aeropuerto AMS'!$Q$236)</c:f>
              <c:numCache>
                <c:formatCode>_ * #,##0_ ;_ * \-#,##0_ ;_ * "-"??_ ;_ @_ </c:formatCode>
                <c:ptCount val="4"/>
                <c:pt idx="0">
                  <c:v>1321875</c:v>
                </c:pt>
                <c:pt idx="1">
                  <c:v>403757</c:v>
                </c:pt>
                <c:pt idx="2">
                  <c:v>576617</c:v>
                </c:pt>
                <c:pt idx="3" formatCode="#,##0">
                  <c:v>219351</c:v>
                </c:pt>
              </c:numCache>
            </c:numRef>
          </c:val>
          <c:smooth val="0"/>
          <c:extLst>
            <c:ext xmlns:c16="http://schemas.microsoft.com/office/drawing/2014/chart" uri="{C3380CC4-5D6E-409C-BE32-E72D297353CC}">
              <c16:uniqueId val="{00000006-5C81-48B2-9E47-9C458703A155}"/>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0"/>
                  <c:y val="-6.0449050086355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81-48B2-9E47-9C458703A155}"/>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6"/>
                <c:pt idx="0">
                  <c:v>ARRIVING 2019</c:v>
                </c:pt>
                <c:pt idx="15">
                  <c:v>ARRIVING 2020</c:v>
                </c:pt>
                <c:pt idx="30">
                  <c:v>ARRIVING 2021</c:v>
                </c:pt>
                <c:pt idx="45">
                  <c:v>ARRIVING 2022</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AMS'!$P$226,'Datos Aeropuerto AMS'!$Q$237)</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AMS'!$P$226,'Datos Aeropuerto AMS'!$Q$237)</c:f>
              <c:numCache>
                <c:formatCode>#,##0</c:formatCode>
                <c:ptCount val="4"/>
                <c:pt idx="0">
                  <c:v>2502789</c:v>
                </c:pt>
                <c:pt idx="1">
                  <c:v>748296</c:v>
                </c:pt>
                <c:pt idx="2">
                  <c:v>1153666</c:v>
                </c:pt>
                <c:pt idx="3">
                  <c:v>394510</c:v>
                </c:pt>
              </c:numCache>
            </c:numRef>
          </c:val>
          <c:smooth val="0"/>
          <c:extLst>
            <c:ext xmlns:c16="http://schemas.microsoft.com/office/drawing/2014/chart" uri="{C3380CC4-5D6E-409C-BE32-E72D297353CC}">
              <c16:uniqueId val="{00000008-5C81-48B2-9E47-9C458703A155}"/>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C"/>
                  <a:t>Fuente: Estadísticas Quiport, operador del AIMS; datos a marzo 2022, sujetos a cambio</a:t>
                </a:r>
              </a:p>
            </c:rich>
          </c:tx>
          <c:layout>
            <c:manualLayout>
              <c:xMode val="edge"/>
              <c:yMode val="edge"/>
              <c:x val="3.8693009091831758E-2"/>
              <c:y val="0.921394475949573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4164023998014156E-2"/>
          <c:y val="0.15774817388676335"/>
          <c:w val="0.93906696674858314"/>
          <c:h val="0.6522865785844566"/>
        </c:manualLayout>
      </c:layout>
      <c:lineChart>
        <c:grouping val="standard"/>
        <c:varyColors val="0"/>
        <c:ser>
          <c:idx val="6"/>
          <c:order val="0"/>
          <c:tx>
            <c:strRef>
              <c:f>'Llegadas '!$J$3</c:f>
              <c:strCache>
                <c:ptCount val="1"/>
                <c:pt idx="0">
                  <c:v>2015</c:v>
                </c:pt>
              </c:strCache>
            </c:strRef>
          </c:tx>
          <c:spPr>
            <a:ln w="28575" cap="rnd">
              <a:solidFill>
                <a:schemeClr val="accent2">
                  <a:lumMod val="80000"/>
                  <a:lumOff val="20000"/>
                </a:schemeClr>
              </a:solidFill>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ln w="28575" cap="rnd">
              <a:solidFill>
                <a:schemeClr val="accent6">
                  <a:lumMod val="60000"/>
                </a:schemeClr>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ln w="28575" cap="rnd">
              <a:solidFill>
                <a:schemeClr val="accent2"/>
              </a:solidFill>
              <a:round/>
            </a:ln>
            <a:effectLst/>
          </c:spPr>
          <c:marker>
            <c:symbol val="none"/>
          </c:marker>
          <c:dLbls>
            <c:dLbl>
              <c:idx val="3"/>
              <c:layout>
                <c:manualLayout>
                  <c:x val="-3.0331155858702424E-2"/>
                  <c:y val="-0.103561419229375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3"/>
          <c:tx>
            <c:strRef>
              <c:f>'Llegadas '!$M$3</c:f>
              <c:strCache>
                <c:ptCount val="1"/>
                <c:pt idx="0">
                  <c:v>2018</c:v>
                </c:pt>
              </c:strCache>
            </c:strRef>
          </c:tx>
          <c:spPr>
            <a:ln w="28575" cap="rnd">
              <a:solidFill>
                <a:schemeClr val="accent4"/>
              </a:solidFill>
              <a:round/>
            </a:ln>
            <a:effectLst/>
          </c:spPr>
          <c:marker>
            <c:symbol val="none"/>
          </c:marker>
          <c:dLbls>
            <c:dLbl>
              <c:idx val="3"/>
              <c:layout>
                <c:manualLayout>
                  <c:x val="-1.4643098951803048E-2"/>
                  <c:y val="0.14732639352284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ln w="28575" cap="rnd">
              <a:solidFill>
                <a:schemeClr val="accent6"/>
              </a:solidFill>
              <a:round/>
            </a:ln>
            <a:effectLst/>
          </c:spPr>
          <c:marker>
            <c:symbol val="none"/>
          </c:marker>
          <c:dLbls>
            <c:dLbl>
              <c:idx val="3"/>
              <c:layout>
                <c:manualLayout>
                  <c:x val="-1.373459885985638E-3"/>
                  <c:y val="-0.15937255724390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ln w="28575" cap="rnd">
              <a:solidFill>
                <a:schemeClr val="accent2">
                  <a:lumMod val="60000"/>
                </a:schemeClr>
              </a:solidFill>
              <a:round/>
            </a:ln>
            <a:effectLst/>
          </c:spPr>
          <c:marker>
            <c:symbol val="none"/>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6"/>
          <c:tx>
            <c:strRef>
              <c:f>'Llegadas '!$P$3</c:f>
              <c:strCache>
                <c:ptCount val="1"/>
                <c:pt idx="0">
                  <c:v>2021</c:v>
                </c:pt>
              </c:strCache>
            </c:strRef>
          </c:tx>
          <c:spPr>
            <a:ln w="28575" cap="rnd">
              <a:solidFill>
                <a:schemeClr val="accent4">
                  <a:lumMod val="60000"/>
                </a:schemeClr>
              </a:solidFill>
              <a:round/>
            </a:ln>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14237</c:v>
                </c:pt>
                <c:pt idx="1">
                  <c:v>10895</c:v>
                </c:pt>
                <c:pt idx="2">
                  <c:v>13935</c:v>
                </c:pt>
                <c:pt idx="3">
                  <c:v>13232</c:v>
                </c:pt>
                <c:pt idx="4">
                  <c:v>15295</c:v>
                </c:pt>
                <c:pt idx="5">
                  <c:v>22654</c:v>
                </c:pt>
                <c:pt idx="6">
                  <c:v>30018</c:v>
                </c:pt>
                <c:pt idx="7">
                  <c:v>27480</c:v>
                </c:pt>
                <c:pt idx="8">
                  <c:v>25275</c:v>
                </c:pt>
                <c:pt idx="9">
                  <c:v>29775</c:v>
                </c:pt>
                <c:pt idx="10">
                  <c:v>35230</c:v>
                </c:pt>
                <c:pt idx="11">
                  <c:v>42970</c:v>
                </c:pt>
              </c:numCache>
            </c:numRef>
          </c:val>
          <c:smooth val="0"/>
          <c:extLst>
            <c:ext xmlns:c16="http://schemas.microsoft.com/office/drawing/2014/chart" uri="{C3380CC4-5D6E-409C-BE32-E72D297353CC}">
              <c16:uniqueId val="{00000004-7FF1-4305-A62F-199356D4C05D}"/>
            </c:ext>
          </c:extLst>
        </c:ser>
        <c:ser>
          <c:idx val="7"/>
          <c:order val="7"/>
          <c:tx>
            <c:strRef>
              <c:f>'Llegadas '!$Q$3</c:f>
              <c:strCache>
                <c:ptCount val="1"/>
                <c:pt idx="0">
                  <c:v>2022 (e)</c:v>
                </c:pt>
              </c:strCache>
            </c:strRef>
          </c:tx>
          <c:spPr>
            <a:ln w="28575" cap="rnd">
              <a:solidFill>
                <a:schemeClr val="accent4">
                  <a:lumMod val="80000"/>
                  <a:lumOff val="20000"/>
                </a:schemeClr>
              </a:solidFill>
              <a:round/>
            </a:ln>
            <a:effectLst/>
          </c:spPr>
          <c:marker>
            <c:symbol val="none"/>
          </c:marker>
          <c:dLbls>
            <c:dLbl>
              <c:idx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9-00B7-4AEB-A8F1-E569BDD6644C}"/>
                </c:ext>
              </c:extLst>
            </c:dLbl>
            <c:dLbl>
              <c:idx val="1"/>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A-00B7-4AEB-A8F1-E569BDD6644C}"/>
                </c:ext>
              </c:extLst>
            </c:dLbl>
            <c:dLbl>
              <c:idx val="2"/>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B-00B7-4AEB-A8F1-E569BDD6644C}"/>
                </c:ext>
              </c:extLst>
            </c:dLbl>
            <c:dLbl>
              <c:idx val="3"/>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C-00B7-4AEB-A8F1-E569BDD6644C}"/>
                </c:ext>
              </c:extLst>
            </c:dLbl>
            <c:dLbl>
              <c:idx val="4"/>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00B7-4AEB-A8F1-E569BDD6644C}"/>
                </c:ext>
              </c:extLst>
            </c:dLbl>
            <c:dLbl>
              <c:idx val="5"/>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00B7-4AEB-A8F1-E569BDD6644C}"/>
                </c:ext>
              </c:extLst>
            </c:dLbl>
            <c:dLbl>
              <c:idx val="6"/>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3-00B7-4AEB-A8F1-E569BDD6644C}"/>
                </c:ext>
              </c:extLst>
            </c:dLbl>
            <c:dLbl>
              <c:idx val="7"/>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4-00B7-4AEB-A8F1-E569BDD6644C}"/>
                </c:ext>
              </c:extLst>
            </c:dLbl>
            <c:dLbl>
              <c:idx val="8"/>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5-00B7-4AEB-A8F1-E569BDD6644C}"/>
                </c:ext>
              </c:extLst>
            </c:dLbl>
            <c:dLbl>
              <c:idx val="9"/>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6-00B7-4AEB-A8F1-E569BDD6644C}"/>
                </c:ext>
              </c:extLst>
            </c:dLbl>
            <c:dLbl>
              <c:idx val="10"/>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7-00B7-4AEB-A8F1-E569BDD6644C}"/>
                </c:ext>
              </c:extLst>
            </c:dLbl>
            <c:dLbl>
              <c:idx val="11"/>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8-00B7-4AEB-A8F1-E569BDD6644C}"/>
                </c:ext>
              </c:extLst>
            </c:dLbl>
            <c:spPr>
              <a:solidFill>
                <a:srgbClr val="FFFF00"/>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'!$Q$4:$Q$15</c:f>
              <c:numCache>
                <c:formatCode>#,##0</c:formatCode>
                <c:ptCount val="12"/>
                <c:pt idx="0">
                  <c:v>31435</c:v>
                </c:pt>
                <c:pt idx="1">
                  <c:v>33370</c:v>
                </c:pt>
                <c:pt idx="2">
                  <c:v>38123</c:v>
                </c:pt>
                <c:pt idx="3">
                  <c:v>41841</c:v>
                </c:pt>
                <c:pt idx="4">
                  <c:v>43757</c:v>
                </c:pt>
                <c:pt idx="5">
                  <c:v>31716</c:v>
                </c:pt>
                <c:pt idx="6">
                  <c:v>42025</c:v>
                </c:pt>
                <c:pt idx="7">
                  <c:v>38472</c:v>
                </c:pt>
                <c:pt idx="8">
                  <c:v>35385</c:v>
                </c:pt>
                <c:pt idx="9">
                  <c:v>41233</c:v>
                </c:pt>
                <c:pt idx="10">
                  <c:v>48322</c:v>
                </c:pt>
                <c:pt idx="11">
                  <c:v>52712</c:v>
                </c:pt>
              </c:numCache>
            </c:numRef>
          </c:val>
          <c:smooth val="0"/>
          <c:extLst>
            <c:ext xmlns:c16="http://schemas.microsoft.com/office/drawing/2014/chart" uri="{C3380CC4-5D6E-409C-BE32-E72D297353CC}">
              <c16:uniqueId val="{00000001-897F-47D6-B006-AB1AE2FF8507}"/>
            </c:ext>
          </c:extLst>
        </c:ser>
        <c:dLbls>
          <c:showLegendKey val="0"/>
          <c:showVal val="1"/>
          <c:showCatName val="0"/>
          <c:showSerName val="0"/>
          <c:showPercent val="0"/>
          <c:showBubbleSize val="0"/>
        </c:dLbls>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929467800094616E-3"/>
          <c:y val="0.14451043673188921"/>
          <c:w val="0.9809014495749645"/>
          <c:h val="0.74038474536176535"/>
        </c:manualLayout>
      </c:layout>
      <c:barChart>
        <c:barDir val="col"/>
        <c:grouping val="clustered"/>
        <c:varyColors val="0"/>
        <c:ser>
          <c:idx val="0"/>
          <c:order val="0"/>
          <c:tx>
            <c:strRef>
              <c:f>Puntos_información_QT!$C$7</c:f>
              <c:strCache>
                <c:ptCount val="1"/>
                <c:pt idx="0">
                  <c:v>AEROPUERTO INTERNACIONAL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3661834750118287E-2"/>
                  <c:y val="-1.072961373390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29D-A966-4CAD0FFFDCF7}"/>
                </c:ext>
              </c:extLst>
            </c:dLbl>
            <c:dLbl>
              <c:idx val="1"/>
              <c:layout>
                <c:manualLayout>
                  <c:x val="-4.1220119875898225E-3"/>
                  <c:y val="-6.437768240343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8-429D-A966-4CAD0FFFDCF7}"/>
                </c:ext>
              </c:extLst>
            </c:dLbl>
            <c:dLbl>
              <c:idx val="3"/>
              <c:layout>
                <c:manualLayout>
                  <c:x val="5.0929467800093688E-3"/>
                  <c:y val="-4.2918454935622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F8-429D-A966-4CAD0FFFDCF7}"/>
                </c:ext>
              </c:extLst>
            </c:dLbl>
            <c:dLbl>
              <c:idx val="4"/>
              <c:layout>
                <c:manualLayout>
                  <c:x val="1.2732366950023654E-3"/>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8-429D-A966-4CAD0FFFDCF7}"/>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Puntos_información_QT!$C$8:$C$13</c:f>
              <c:numCache>
                <c:formatCode>_(* #,##0_);_(* \(#,##0\);_(* "-"??_);_(@_)</c:formatCode>
                <c:ptCount val="6"/>
                <c:pt idx="0">
                  <c:v>36753</c:v>
                </c:pt>
                <c:pt idx="1">
                  <c:v>41156</c:v>
                </c:pt>
                <c:pt idx="2">
                  <c:v>44477</c:v>
                </c:pt>
                <c:pt idx="3">
                  <c:v>7673</c:v>
                </c:pt>
                <c:pt idx="4">
                  <c:v>2197</c:v>
                </c:pt>
                <c:pt idx="5">
                  <c:v>918</c:v>
                </c:pt>
              </c:numCache>
            </c:numRef>
          </c:val>
          <c:extLst>
            <c:ext xmlns:c16="http://schemas.microsoft.com/office/drawing/2014/chart" uri="{C3380CC4-5D6E-409C-BE32-E72D297353CC}">
              <c16:uniqueId val="{00000000-0F62-4547-8BB9-3BDD30161DC8}"/>
            </c:ext>
          </c:extLst>
        </c:ser>
        <c:ser>
          <c:idx val="1"/>
          <c:order val="1"/>
          <c:tx>
            <c:strRef>
              <c:f>Puntos_información_QT!$D$7</c:f>
              <c:strCache>
                <c:ptCount val="1"/>
                <c:pt idx="0">
                  <c:v>MARISCAL / OPC</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1"/>
              <c:layout>
                <c:manualLayout>
                  <c:x val="0"/>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F8-429D-A966-4CAD0FFFDCF7}"/>
                </c:ext>
              </c:extLst>
            </c:dLbl>
            <c:dLbl>
              <c:idx val="3"/>
              <c:layout>
                <c:manualLayout>
                  <c:x val="-4.4148803983616244E-3"/>
                  <c:y val="-3.5765379113019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F8-429D-A966-4CAD0FFFDCF7}"/>
                </c:ext>
              </c:extLst>
            </c:dLbl>
            <c:dLbl>
              <c:idx val="4"/>
              <c:layout>
                <c:manualLayout>
                  <c:x val="-3.0870732297608402E-3"/>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F8-429D-A966-4CAD0FFFDCF7}"/>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Puntos_información_QT!$D$8:$D$13</c:f>
              <c:numCache>
                <c:formatCode>_(* #,##0_);_(* \(#,##0\);_(* "-"??_);_(@_)</c:formatCode>
                <c:ptCount val="6"/>
                <c:pt idx="0">
                  <c:v>16969</c:v>
                </c:pt>
                <c:pt idx="1">
                  <c:v>31570</c:v>
                </c:pt>
                <c:pt idx="2">
                  <c:v>12421</c:v>
                </c:pt>
                <c:pt idx="3">
                  <c:v>2923</c:v>
                </c:pt>
                <c:pt idx="4">
                  <c:v>1797</c:v>
                </c:pt>
              </c:numCache>
            </c:numRef>
          </c:val>
          <c:extLst>
            <c:ext xmlns:c16="http://schemas.microsoft.com/office/drawing/2014/chart" uri="{C3380CC4-5D6E-409C-BE32-E72D297353CC}">
              <c16:uniqueId val="{00000001-0F62-4547-8BB9-3BDD30161DC8}"/>
            </c:ext>
          </c:extLst>
        </c:ser>
        <c:ser>
          <c:idx val="2"/>
          <c:order val="2"/>
          <c:tx>
            <c:strRef>
              <c:f>Puntos_información_QT!$E$7</c:f>
              <c:strCache>
                <c:ptCount val="1"/>
                <c:pt idx="0">
                  <c:v>  EL QUINDE</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197100850071199E-3"/>
                  <c:y val="-4.2918454935622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29D-A966-4CAD0FFFDCF7}"/>
                </c:ext>
              </c:extLst>
            </c:dLbl>
            <c:dLbl>
              <c:idx val="1"/>
              <c:layout>
                <c:manualLayout>
                  <c:x val="9.0695082656077383E-4"/>
                  <c:y val="-7.15307582260385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8-429D-A966-4CAD0FFFDCF7}"/>
                </c:ext>
              </c:extLst>
            </c:dLbl>
            <c:dLbl>
              <c:idx val="2"/>
              <c:layout>
                <c:manualLayout>
                  <c:x val="-4.689897576116305E-3"/>
                  <c:y val="-3.5765379113018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8-429D-A966-4CAD0FFFDCF7}"/>
                </c:ext>
              </c:extLst>
            </c:dLbl>
            <c:dLbl>
              <c:idx val="4"/>
              <c:layout>
                <c:manualLayout>
                  <c:x val="6.4048060279510137E-5"/>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8-429D-A966-4CAD0FFFDCF7}"/>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Puntos_información_QT!$E$8:$E$13</c:f>
              <c:numCache>
                <c:formatCode>_(* #,##0_);_(* \(#,##0\);_(* "-"??_);_(@_)</c:formatCode>
                <c:ptCount val="6"/>
                <c:pt idx="0">
                  <c:v>38301</c:v>
                </c:pt>
                <c:pt idx="1">
                  <c:v>31570</c:v>
                </c:pt>
                <c:pt idx="2">
                  <c:v>27018</c:v>
                </c:pt>
                <c:pt idx="3">
                  <c:v>5893</c:v>
                </c:pt>
                <c:pt idx="4">
                  <c:v>7433</c:v>
                </c:pt>
                <c:pt idx="5">
                  <c:v>935</c:v>
                </c:pt>
              </c:numCache>
            </c:numRef>
          </c:val>
          <c:extLst>
            <c:ext xmlns:c16="http://schemas.microsoft.com/office/drawing/2014/chart" uri="{C3380CC4-5D6E-409C-BE32-E72D297353CC}">
              <c16:uniqueId val="{00000002-0F62-4547-8BB9-3BDD30161DC8}"/>
            </c:ext>
          </c:extLst>
        </c:ser>
        <c:ser>
          <c:idx val="3"/>
          <c:order val="3"/>
          <c:tx>
            <c:strRef>
              <c:f>Puntos_información_QT!$F$7</c:f>
              <c:strCache>
                <c:ptCount val="1"/>
                <c:pt idx="0">
                  <c:v>QUITUMBE</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9299759960420028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8-429D-A966-4CAD0FFFDCF7}"/>
                </c:ext>
              </c:extLst>
            </c:dLbl>
            <c:dLbl>
              <c:idx val="1"/>
              <c:layout>
                <c:manualLayout>
                  <c:x val="6.8059719190367608E-3"/>
                  <c:y val="-1.072961373390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8-429D-A966-4CAD0FFFDCF7}"/>
                </c:ext>
              </c:extLst>
            </c:dLbl>
            <c:dLbl>
              <c:idx val="3"/>
              <c:layout>
                <c:manualLayout>
                  <c:x val="-1.5660399874110941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F8-429D-A966-4CAD0FFFDCF7}"/>
                </c:ext>
              </c:extLst>
            </c:dLbl>
            <c:dLbl>
              <c:idx val="4"/>
              <c:layout>
                <c:manualLayout>
                  <c:x val="-4.6705316930250039E-4"/>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8-429D-A966-4CAD0FFFDCF7}"/>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Puntos_información_QT!$F$8:$F$13</c:f>
              <c:numCache>
                <c:formatCode>_(* #,##0_);_(* \(#,##0\);_(* "-"??_);_(@_)</c:formatCode>
                <c:ptCount val="6"/>
                <c:pt idx="0">
                  <c:v>38939</c:v>
                </c:pt>
                <c:pt idx="1">
                  <c:v>30270</c:v>
                </c:pt>
                <c:pt idx="2">
                  <c:v>24607</c:v>
                </c:pt>
                <c:pt idx="3">
                  <c:v>5184</c:v>
                </c:pt>
                <c:pt idx="4">
                  <c:v>9485</c:v>
                </c:pt>
                <c:pt idx="5">
                  <c:v>1122</c:v>
                </c:pt>
              </c:numCache>
            </c:numRef>
          </c:val>
          <c:extLst>
            <c:ext xmlns:c16="http://schemas.microsoft.com/office/drawing/2014/chart" uri="{C3380CC4-5D6E-409C-BE32-E72D297353CC}">
              <c16:uniqueId val="{00000003-0F62-4547-8BB9-3BDD30161DC8}"/>
            </c:ext>
          </c:extLst>
        </c:ser>
        <c:dLbls>
          <c:showLegendKey val="0"/>
          <c:showVal val="0"/>
          <c:showCatName val="0"/>
          <c:showSerName val="0"/>
          <c:showPercent val="0"/>
          <c:showBubbleSize val="0"/>
        </c:dLbls>
        <c:gapWidth val="75"/>
        <c:axId val="1809288880"/>
        <c:axId val="1809300304"/>
      </c:barChart>
      <c:lineChart>
        <c:grouping val="standard"/>
        <c:varyColors val="0"/>
        <c:ser>
          <c:idx val="4"/>
          <c:order val="4"/>
          <c:tx>
            <c:strRef>
              <c:f>Puntos_información_QT!$G$7</c:f>
              <c:strCache>
                <c:ptCount val="1"/>
                <c:pt idx="0">
                  <c:v>TOTAL VISITANTES</c:v>
                </c:pt>
              </c:strCache>
            </c:strRef>
          </c:tx>
          <c:spPr>
            <a:ln w="34925" cap="rnd">
              <a:solidFill>
                <a:schemeClr val="accent5">
                  <a:lumMod val="60000"/>
                </a:schemeClr>
              </a:solidFill>
              <a:round/>
            </a:ln>
            <a:effectLst>
              <a:outerShdw blurRad="40000" dist="23000" dir="5400000" rotWithShape="0">
                <a:srgbClr val="000000">
                  <a:alpha val="35000"/>
                </a:srgbClr>
              </a:outerShdw>
            </a:effectLst>
          </c:spPr>
          <c:marker>
            <c:symbol val="none"/>
          </c:marker>
          <c:dLbls>
            <c:dLbl>
              <c:idx val="3"/>
              <c:layout>
                <c:manualLayout>
                  <c:x val="-8.244023975179645E-3"/>
                  <c:y val="-4.6494992846924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8-429D-A966-4CAD0FFFDCF7}"/>
                </c:ext>
              </c:extLst>
            </c:dLbl>
            <c:dLbl>
              <c:idx val="4"/>
              <c:layout>
                <c:manualLayout>
                  <c:x val="-2.7480079917266494E-3"/>
                  <c:y val="-0.1323319027181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F8-429D-A966-4CAD0FFFDCF7}"/>
                </c:ext>
              </c:extLst>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Puntos_información_QT!$G$8:$G$13</c:f>
              <c:numCache>
                <c:formatCode>_(* #,##0_);_(* \(#,##0\);_(* "-"??_);_(@_)</c:formatCode>
                <c:ptCount val="6"/>
                <c:pt idx="0">
                  <c:v>130962</c:v>
                </c:pt>
                <c:pt idx="1">
                  <c:v>134566</c:v>
                </c:pt>
                <c:pt idx="2">
                  <c:v>108523</c:v>
                </c:pt>
                <c:pt idx="3">
                  <c:v>21673</c:v>
                </c:pt>
                <c:pt idx="4">
                  <c:v>20912</c:v>
                </c:pt>
                <c:pt idx="5">
                  <c:v>2975</c:v>
                </c:pt>
              </c:numCache>
            </c:numRef>
          </c:val>
          <c:smooth val="0"/>
          <c:extLst>
            <c:ext xmlns:c16="http://schemas.microsoft.com/office/drawing/2014/chart" uri="{C3380CC4-5D6E-409C-BE32-E72D297353CC}">
              <c16:uniqueId val="{0000000E-CFF8-429D-A966-4CAD0FFFDCF7}"/>
            </c:ext>
          </c:extLst>
        </c:ser>
        <c:dLbls>
          <c:showLegendKey val="0"/>
          <c:showVal val="0"/>
          <c:showCatName val="0"/>
          <c:showSerName val="0"/>
          <c:showPercent val="0"/>
          <c:showBubbleSize val="0"/>
        </c:dLbls>
        <c:marker val="1"/>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1"/>
        <c:axPos val="l"/>
        <c:numFmt formatCode="_(* #,##0_);_(* \(#,##0\);_(* &quot;-&quot;??_);_(@_)" sourceLinked="1"/>
        <c:majorTickMark val="none"/>
        <c:minorTickMark val="none"/>
        <c:tickLblPos val="nextTo"/>
        <c:crossAx val="1809288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'Museos UIO'!$A$79:$A$80</c:f>
          <c:strCache>
            <c:ptCount val="2"/>
            <c:pt idx="0">
              <c:v>FUNDACIÓN MUSEOS DE LA CIUDAD</c:v>
            </c:pt>
            <c:pt idx="1">
              <c:v>NÚMERO DE VISITANTES FMC</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2114997989545637E-2"/>
          <c:y val="0.22117276577119641"/>
          <c:w val="0.92689581977524138"/>
          <c:h val="0.64037715170538612"/>
        </c:manualLayout>
      </c:layout>
      <c:barChart>
        <c:barDir val="col"/>
        <c:grouping val="clustered"/>
        <c:varyColors val="0"/>
        <c:ser>
          <c:idx val="1"/>
          <c:order val="0"/>
          <c:tx>
            <c:strRef>
              <c:f>'Museos UIO'!$A$108</c:f>
              <c:strCache>
                <c:ptCount val="1"/>
                <c:pt idx="0">
                  <c:v>AÑO 2019</c:v>
                </c:pt>
              </c:strCache>
            </c:strRef>
          </c:tx>
          <c:spPr>
            <a:solidFill>
              <a:schemeClr val="accent3"/>
            </a:solidFill>
            <a:ln>
              <a:noFill/>
            </a:ln>
            <a:effectLst/>
          </c:spPr>
          <c:invertIfNegative val="0"/>
          <c:dLbls>
            <c:dLbl>
              <c:idx val="3"/>
              <c:layout>
                <c:manualLayout>
                  <c:x val="-4.4229995979091274E-2"/>
                  <c:y val="-3.2401782098015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5F-422E-9155-50897916B8D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UIO'!$B$129,'Museos UIO'!$D$129,'Museos UIO'!$F$129,'Museos UIO'!$H$129,'Museos UIO'!$J$129,'Museos UIO'!$L$129)</c:f>
              <c:numCache>
                <c:formatCode>_(* #,##0_);_(* \(#,##0\);_(* "-"??_);_(@_)</c:formatCode>
                <c:ptCount val="6"/>
                <c:pt idx="0">
                  <c:v>134348</c:v>
                </c:pt>
                <c:pt idx="1">
                  <c:v>117136</c:v>
                </c:pt>
                <c:pt idx="2">
                  <c:v>62793</c:v>
                </c:pt>
                <c:pt idx="3">
                  <c:v>25402</c:v>
                </c:pt>
                <c:pt idx="5">
                  <c:v>339679</c:v>
                </c:pt>
              </c:numCache>
            </c:numRef>
          </c:val>
          <c:extLst>
            <c:ext xmlns:c16="http://schemas.microsoft.com/office/drawing/2014/chart" uri="{C3380CC4-5D6E-409C-BE32-E72D297353CC}">
              <c16:uniqueId val="{00000003-B85F-422E-9155-50897916B8DC}"/>
            </c:ext>
          </c:extLst>
        </c:ser>
        <c:ser>
          <c:idx val="0"/>
          <c:order val="1"/>
          <c:tx>
            <c:strRef>
              <c:f>'Museos UIO'!$A$82</c:f>
              <c:strCache>
                <c:ptCount val="1"/>
                <c:pt idx="0">
                  <c:v>AÑO 2020</c:v>
                </c:pt>
              </c:strCache>
            </c:strRef>
          </c:tx>
          <c:spPr>
            <a:solidFill>
              <a:schemeClr val="accent1"/>
            </a:solidFill>
            <a:ln>
              <a:noFill/>
            </a:ln>
            <a:effectLst/>
          </c:spPr>
          <c:invertIfNegative val="0"/>
          <c:dLbls>
            <c:spPr>
              <a:noFill/>
              <a:ln w="25400" cap="flat" cmpd="sng" algn="ctr">
                <a:noFill/>
                <a:prstDash val="solid"/>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UIO'!$B$104,'Museos UIO'!$D$104,'Museos UIO'!$F$104,'Museos UIO'!$H$104,'Museos UIO'!$J$104,'Museos UIO'!$L$104)</c:f>
              <c:numCache>
                <c:formatCode>_(* #,##0_);_(* \(#,##0\);_(* "-"??_);_(@_)</c:formatCode>
                <c:ptCount val="6"/>
                <c:pt idx="0">
                  <c:v>39122</c:v>
                </c:pt>
                <c:pt idx="1">
                  <c:v>67719</c:v>
                </c:pt>
                <c:pt idx="2">
                  <c:v>30202</c:v>
                </c:pt>
                <c:pt idx="3">
                  <c:v>21011</c:v>
                </c:pt>
                <c:pt idx="5">
                  <c:v>158054</c:v>
                </c:pt>
              </c:numCache>
            </c:numRef>
          </c:val>
          <c:extLst>
            <c:ext xmlns:c16="http://schemas.microsoft.com/office/drawing/2014/chart" uri="{C3380CC4-5D6E-409C-BE32-E72D297353CC}">
              <c16:uniqueId val="{00000000-B85F-422E-9155-50897916B8DC}"/>
            </c:ext>
          </c:extLst>
        </c:ser>
        <c:dLbls>
          <c:showLegendKey val="0"/>
          <c:showVal val="1"/>
          <c:showCatName val="0"/>
          <c:showSerName val="0"/>
          <c:showPercent val="0"/>
          <c:showBubbleSize val="0"/>
        </c:dLbls>
        <c:gapWidth val="150"/>
        <c:axId val="517198591"/>
        <c:axId val="517187359"/>
      </c:barChart>
      <c:lineChart>
        <c:grouping val="standard"/>
        <c:varyColors val="0"/>
        <c:ser>
          <c:idx val="2"/>
          <c:order val="2"/>
          <c:tx>
            <c:strRef>
              <c:f>'Museos UIO'!$A$41</c:f>
              <c:strCache>
                <c:ptCount val="1"/>
                <c:pt idx="0">
                  <c:v>AÑO 2021</c:v>
                </c:pt>
              </c:strCache>
            </c:strRef>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anchor="ctr" anchorCtr="1"/>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UIO'!$B$73,'Museos UIO'!$D$73,'Museos UIO'!$F$73,'Museos UIO'!$H$73,'Museos UIO'!$J$73,'Museos UIO'!$L$73)</c:f>
              <c:numCache>
                <c:formatCode>_(* #,##0_);_(* \(#,##0\);_(* "-"??_);_(@_)</c:formatCode>
                <c:ptCount val="6"/>
                <c:pt idx="0">
                  <c:v>55945</c:v>
                </c:pt>
                <c:pt idx="1">
                  <c:v>70517</c:v>
                </c:pt>
                <c:pt idx="2">
                  <c:v>15638</c:v>
                </c:pt>
                <c:pt idx="3">
                  <c:v>16548</c:v>
                </c:pt>
                <c:pt idx="4">
                  <c:v>60401</c:v>
                </c:pt>
                <c:pt idx="5">
                  <c:v>218963</c:v>
                </c:pt>
              </c:numCache>
            </c:numRef>
          </c:val>
          <c:smooth val="0"/>
          <c:extLst>
            <c:ext xmlns:c16="http://schemas.microsoft.com/office/drawing/2014/chart" uri="{C3380CC4-5D6E-409C-BE32-E72D297353CC}">
              <c16:uniqueId val="{00000002-B016-4785-A24E-25C087A58383}"/>
            </c:ext>
          </c:extLst>
        </c:ser>
        <c:ser>
          <c:idx val="3"/>
          <c:order val="3"/>
          <c:tx>
            <c:strRef>
              <c:f>'Museos UIO'!$A$4</c:f>
              <c:strCache>
                <c:ptCount val="1"/>
                <c:pt idx="0">
                  <c:v>ENERO AÑO 2022</c:v>
                </c:pt>
              </c:strCache>
            </c:strRef>
          </c:tx>
          <c:spPr>
            <a:ln w="28575" cap="rnd">
              <a:solidFill>
                <a:schemeClr val="accent1">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UIO'!$B$36,'Museos UIO'!$D$36,'Museos UIO'!$F$36,'Museos UIO'!$H$36,'Museos UIO'!$J$36,'Museos UIO'!$L$36)</c:f>
              <c:numCache>
                <c:formatCode>_(* #,##0_);_(* \(#,##0\);_(* "-"??_);_(@_)</c:formatCode>
                <c:ptCount val="6"/>
                <c:pt idx="0">
                  <c:v>2299</c:v>
                </c:pt>
                <c:pt idx="1">
                  <c:v>2719</c:v>
                </c:pt>
                <c:pt idx="2">
                  <c:v>2808</c:v>
                </c:pt>
                <c:pt idx="3">
                  <c:v>1321</c:v>
                </c:pt>
                <c:pt idx="4">
                  <c:v>4323</c:v>
                </c:pt>
                <c:pt idx="5">
                  <c:v>40674</c:v>
                </c:pt>
              </c:numCache>
            </c:numRef>
          </c:val>
          <c:smooth val="0"/>
          <c:extLst>
            <c:ext xmlns:c16="http://schemas.microsoft.com/office/drawing/2014/chart" uri="{C3380CC4-5D6E-409C-BE32-E72D297353CC}">
              <c16:uniqueId val="{00000003-0800-4C46-BEF4-BBB8F84E4BDA}"/>
            </c:ext>
          </c:extLst>
        </c:ser>
        <c:dLbls>
          <c:showLegendKey val="0"/>
          <c:showVal val="0"/>
          <c:showCatName val="0"/>
          <c:showSerName val="0"/>
          <c:showPercent val="0"/>
          <c:showBubbleSize val="0"/>
        </c:dLbls>
        <c:marker val="1"/>
        <c:smooth val="0"/>
        <c:axId val="1692697263"/>
        <c:axId val="1692694767"/>
      </c:lineChart>
      <c:catAx>
        <c:axId val="51719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517187359"/>
        <c:crosses val="autoZero"/>
        <c:auto val="1"/>
        <c:lblAlgn val="ctr"/>
        <c:lblOffset val="100"/>
        <c:noMultiLvlLbl val="0"/>
      </c:catAx>
      <c:valAx>
        <c:axId val="517187359"/>
        <c:scaling>
          <c:orientation val="minMax"/>
        </c:scaling>
        <c:delete val="1"/>
        <c:axPos val="l"/>
        <c:numFmt formatCode="_(* #,##0_);_(* \(#,##0\);_(* &quot;-&quot;??_);_(@_)" sourceLinked="1"/>
        <c:majorTickMark val="none"/>
        <c:minorTickMark val="none"/>
        <c:tickLblPos val="nextTo"/>
        <c:crossAx val="517198591"/>
        <c:crosses val="autoZero"/>
        <c:crossBetween val="between"/>
      </c:valAx>
      <c:valAx>
        <c:axId val="1692694767"/>
        <c:scaling>
          <c:orientation val="minMax"/>
          <c:max val="4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1692697263"/>
        <c:crosses val="max"/>
        <c:crossBetween val="between"/>
        <c:majorUnit val="100000"/>
        <c:minorUnit val="40000"/>
      </c:valAx>
      <c:catAx>
        <c:axId val="1692697263"/>
        <c:scaling>
          <c:orientation val="minMax"/>
        </c:scaling>
        <c:delete val="1"/>
        <c:axPos val="b"/>
        <c:numFmt formatCode="General" sourceLinked="1"/>
        <c:majorTickMark val="out"/>
        <c:minorTickMark val="none"/>
        <c:tickLblPos val="nextTo"/>
        <c:crossAx val="1692694767"/>
        <c:crosses val="autoZero"/>
        <c:auto val="1"/>
        <c:lblAlgn val="ctr"/>
        <c:lblOffset val="100"/>
        <c:noMultiLvlLbl val="0"/>
      </c:catAx>
      <c:spPr>
        <a:noFill/>
        <a:ln>
          <a:noFill/>
        </a:ln>
        <a:effectLst/>
      </c:spPr>
    </c:plotArea>
    <c:legend>
      <c:legendPos val="t"/>
      <c:layout>
        <c:manualLayout>
          <c:xMode val="edge"/>
          <c:yMode val="edge"/>
          <c:x val="0.20534315249520629"/>
          <c:y val="0.28306893985918924"/>
          <c:w val="0.47350467797852164"/>
          <c:h val="5.745474461470937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Visitantes en feriados DMQ</a:t>
            </a:r>
          </a:p>
          <a:p>
            <a:pPr>
              <a:defRPr/>
            </a:pPr>
            <a:r>
              <a:rPr lang="en-US"/>
              <a:t>Número (#) y gasto promedio ($) </a:t>
            </a:r>
          </a:p>
          <a:p>
            <a:pPr>
              <a:defRPr/>
            </a:pPr>
            <a:r>
              <a:rPr lang="en-US"/>
              <a:t>estimados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tx>
            <c:strRef>
              <c:f>'Gráfico Feriados'!$A$33</c:f>
              <c:strCache>
                <c:ptCount val="1"/>
                <c:pt idx="0">
                  <c:v>Visitantes 2019</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Feriados'!$B$33:$K$33</c:f>
              <c:numCache>
                <c:formatCode>_ * #,##0_ ;_ * \-#,##0_ ;_ * "-"??_ ;_ @_ </c:formatCode>
                <c:ptCount val="10"/>
                <c:pt idx="0">
                  <c:v>126886</c:v>
                </c:pt>
                <c:pt idx="1">
                  <c:v>88950</c:v>
                </c:pt>
                <c:pt idx="2">
                  <c:v>93403.01</c:v>
                </c:pt>
                <c:pt idx="3">
                  <c:v>94097.44</c:v>
                </c:pt>
                <c:pt idx="4">
                  <c:v>104598.5</c:v>
                </c:pt>
                <c:pt idx="5">
                  <c:v>0</c:v>
                </c:pt>
                <c:pt idx="6">
                  <c:v>83420.820000000007</c:v>
                </c:pt>
                <c:pt idx="7">
                  <c:v>104756.7</c:v>
                </c:pt>
                <c:pt idx="8">
                  <c:v>0</c:v>
                </c:pt>
                <c:pt idx="9">
                  <c:v>0</c:v>
                </c:pt>
              </c:numCache>
            </c:numRef>
          </c:val>
          <c:extLst>
            <c:ext xmlns:c16="http://schemas.microsoft.com/office/drawing/2014/chart" uri="{C3380CC4-5D6E-409C-BE32-E72D297353CC}">
              <c16:uniqueId val="{00000000-219A-4590-BC95-71D51D740FC0}"/>
            </c:ext>
          </c:extLst>
        </c:ser>
        <c:ser>
          <c:idx val="1"/>
          <c:order val="1"/>
          <c:tx>
            <c:strRef>
              <c:f>'Gráfico Feriados'!$A$34</c:f>
              <c:strCache>
                <c:ptCount val="1"/>
                <c:pt idx="0">
                  <c:v>Visitantes 2020</c:v>
                </c:pt>
              </c:strCache>
            </c:strRef>
          </c:tx>
          <c:spPr>
            <a:solidFill>
              <a:srgbClr val="FF0000"/>
            </a:soli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Feriados'!$B$34:$K$34</c:f>
              <c:numCache>
                <c:formatCode>_ * #,##0_ ;_ * \-#,##0_ ;_ * "-"??_ ;_ @_ </c:formatCode>
                <c:ptCount val="10"/>
                <c:pt idx="0">
                  <c:v>166886</c:v>
                </c:pt>
                <c:pt idx="1">
                  <c:v>0</c:v>
                </c:pt>
                <c:pt idx="2">
                  <c:v>0</c:v>
                </c:pt>
                <c:pt idx="3">
                  <c:v>0</c:v>
                </c:pt>
                <c:pt idx="4">
                  <c:v>1634</c:v>
                </c:pt>
                <c:pt idx="5">
                  <c:v>29214</c:v>
                </c:pt>
                <c:pt idx="6">
                  <c:v>54832</c:v>
                </c:pt>
                <c:pt idx="7">
                  <c:v>35155</c:v>
                </c:pt>
                <c:pt idx="8">
                  <c:v>0</c:v>
                </c:pt>
                <c:pt idx="9">
                  <c:v>0</c:v>
                </c:pt>
              </c:numCache>
            </c:numRef>
          </c:val>
          <c:extLst>
            <c:ext xmlns:c16="http://schemas.microsoft.com/office/drawing/2014/chart" uri="{C3380CC4-5D6E-409C-BE32-E72D297353CC}">
              <c16:uniqueId val="{00000001-219A-4590-BC95-71D51D740FC0}"/>
            </c:ext>
          </c:extLst>
        </c:ser>
        <c:ser>
          <c:idx val="2"/>
          <c:order val="2"/>
          <c:tx>
            <c:strRef>
              <c:f>'Gráfico Feriados'!$A$35</c:f>
              <c:strCache>
                <c:ptCount val="1"/>
                <c:pt idx="0">
                  <c:v>Visitantes 2021</c:v>
                </c:pt>
              </c:strCache>
            </c:strRef>
          </c:tx>
          <c:spPr>
            <a:solidFill>
              <a:schemeClr val="accent6"/>
            </a:soli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Feriados'!$B$35:$K$35</c:f>
              <c:numCache>
                <c:formatCode>_ * #,##0_ ;_ * \-#,##0_ ;_ * "-"??_ ;_ @_ </c:formatCode>
                <c:ptCount val="10"/>
                <c:pt idx="0">
                  <c:v>37083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2-219A-4590-BC95-71D51D740FC0}"/>
            </c:ext>
          </c:extLst>
        </c:ser>
        <c:ser>
          <c:idx val="3"/>
          <c:order val="3"/>
          <c:tx>
            <c:strRef>
              <c:f>'Gráfico Feriados'!$A$36</c:f>
              <c:strCache>
                <c:ptCount val="1"/>
                <c:pt idx="0">
                  <c:v>Visitantes 2022</c:v>
                </c:pt>
              </c:strCache>
            </c:strRef>
          </c:tx>
          <c:spPr>
            <a:solidFill>
              <a:srgbClr val="FFFF00"/>
            </a:soli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Feriados'!$B$36:$K$36</c:f>
              <c:numCache>
                <c:formatCode>_ * #,##0_ ;_ * \-#,##0_ ;_ * "-"??_ ;_ @_ </c:formatCode>
                <c:ptCount val="10"/>
                <c:pt idx="0">
                  <c:v>90841</c:v>
                </c:pt>
                <c:pt idx="1">
                  <c:v>82898</c:v>
                </c:pt>
                <c:pt idx="2">
                  <c:v>74967</c:v>
                </c:pt>
                <c:pt idx="3">
                  <c:v>83294</c:v>
                </c:pt>
                <c:pt idx="4">
                  <c:v>0</c:v>
                </c:pt>
                <c:pt idx="5">
                  <c:v>0</c:v>
                </c:pt>
                <c:pt idx="6">
                  <c:v>0</c:v>
                </c:pt>
                <c:pt idx="7">
                  <c:v>0</c:v>
                </c:pt>
                <c:pt idx="8">
                  <c:v>0</c:v>
                </c:pt>
                <c:pt idx="9">
                  <c:v>0</c:v>
                </c:pt>
              </c:numCache>
            </c:numRef>
          </c:val>
          <c:extLst>
            <c:ext xmlns:c16="http://schemas.microsoft.com/office/drawing/2014/chart" uri="{C3380CC4-5D6E-409C-BE32-E72D297353CC}">
              <c16:uniqueId val="{00000003-219A-4590-BC95-71D51D740FC0}"/>
            </c:ext>
          </c:extLst>
        </c:ser>
        <c:dLbls>
          <c:showLegendKey val="0"/>
          <c:showVal val="0"/>
          <c:showCatName val="0"/>
          <c:showSerName val="0"/>
          <c:showPercent val="0"/>
          <c:showBubbleSize val="0"/>
        </c:dLbls>
        <c:gapWidth val="150"/>
        <c:axId val="94511423"/>
        <c:axId val="94511839"/>
      </c:barChart>
      <c:lineChart>
        <c:grouping val="standard"/>
        <c:varyColors val="0"/>
        <c:ser>
          <c:idx val="4"/>
          <c:order val="4"/>
          <c:tx>
            <c:strRef>
              <c:f>'Gráfico Feriados'!$A$37</c:f>
              <c:strCache>
                <c:ptCount val="1"/>
                <c:pt idx="0">
                  <c:v>Gasto promedio 2019</c:v>
                </c:pt>
              </c:strCache>
            </c:strRef>
          </c:tx>
          <c:spPr>
            <a:ln w="34925" cap="rnd">
              <a:solidFill>
                <a:schemeClr val="accent5"/>
              </a:solidFill>
              <a:round/>
            </a:ln>
            <a:effectLst>
              <a:outerShdw blurRad="57150" dist="19050" dir="5400000" algn="ctr" rotWithShape="0">
                <a:srgbClr val="000000">
                  <a:alpha val="63000"/>
                </a:srgbClr>
              </a:outerShdw>
            </a:effectLst>
          </c:spPr>
          <c:marker>
            <c:symbol val="none"/>
          </c:marker>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Feriados'!$B$37:$K$37</c:f>
              <c:numCache>
                <c:formatCode>_ * #,##0_ ;_ * \-#,##0_ ;_ * "-"??_ ;_ @_ </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c:ext xmlns:c16="http://schemas.microsoft.com/office/drawing/2014/chart" uri="{C3380CC4-5D6E-409C-BE32-E72D297353CC}">
              <c16:uniqueId val="{00000004-219A-4590-BC95-71D51D740FC0}"/>
            </c:ext>
          </c:extLst>
        </c:ser>
        <c:ser>
          <c:idx val="5"/>
          <c:order val="5"/>
          <c:tx>
            <c:strRef>
              <c:f>'Gráfico Feriados'!$A$38</c:f>
              <c:strCache>
                <c:ptCount val="1"/>
                <c:pt idx="0">
                  <c:v>Gasto promedio 2020</c:v>
                </c:pt>
              </c:strCache>
            </c:strRef>
          </c:tx>
          <c:spPr>
            <a:ln w="34925" cap="rnd">
              <a:solidFill>
                <a:srgbClr val="FF0000"/>
              </a:solidFill>
              <a:round/>
            </a:ln>
            <a:effectLst>
              <a:outerShdw blurRad="57150" dist="19050" dir="5400000" algn="ctr" rotWithShape="0">
                <a:srgbClr val="000000">
                  <a:alpha val="63000"/>
                </a:srgbClr>
              </a:outerShdw>
            </a:effectLst>
          </c:spPr>
          <c:marker>
            <c:symbol val="none"/>
          </c:marker>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Feriados'!$B$38:$K$38</c:f>
              <c:numCache>
                <c:formatCode>_ * #,##0_ ;_ * \-#,##0_ ;_ * "-"??_ ;_ @_ </c:formatCode>
                <c:ptCount val="10"/>
                <c:pt idx="0">
                  <c:v>16688600</c:v>
                </c:pt>
                <c:pt idx="1">
                  <c:v>0</c:v>
                </c:pt>
                <c:pt idx="2">
                  <c:v>0</c:v>
                </c:pt>
                <c:pt idx="3">
                  <c:v>0</c:v>
                </c:pt>
                <c:pt idx="4">
                  <c:v>163400</c:v>
                </c:pt>
                <c:pt idx="5">
                  <c:v>2921400</c:v>
                </c:pt>
                <c:pt idx="6">
                  <c:v>5483200</c:v>
                </c:pt>
                <c:pt idx="7">
                  <c:v>3515500</c:v>
                </c:pt>
                <c:pt idx="8">
                  <c:v>0</c:v>
                </c:pt>
                <c:pt idx="9">
                  <c:v>0</c:v>
                </c:pt>
              </c:numCache>
            </c:numRef>
          </c:val>
          <c:smooth val="0"/>
          <c:extLst>
            <c:ext xmlns:c16="http://schemas.microsoft.com/office/drawing/2014/chart" uri="{C3380CC4-5D6E-409C-BE32-E72D297353CC}">
              <c16:uniqueId val="{00000005-219A-4590-BC95-71D51D740FC0}"/>
            </c:ext>
          </c:extLst>
        </c:ser>
        <c:ser>
          <c:idx val="6"/>
          <c:order val="6"/>
          <c:tx>
            <c:strRef>
              <c:f>'Gráfico Feriados'!$A$39</c:f>
              <c:strCache>
                <c:ptCount val="1"/>
                <c:pt idx="0">
                  <c:v>Gasto promedio 2021</c:v>
                </c:pt>
              </c:strCache>
            </c:strRef>
          </c:tx>
          <c:spPr>
            <a:ln w="34925" cap="rnd">
              <a:solidFill>
                <a:srgbClr val="92D050"/>
              </a:solidFill>
              <a:round/>
            </a:ln>
            <a:effectLst>
              <a:outerShdw blurRad="57150" dist="19050" dir="5400000" algn="ctr" rotWithShape="0">
                <a:srgbClr val="000000">
                  <a:alpha val="63000"/>
                </a:srgbClr>
              </a:outerShdw>
            </a:effectLst>
          </c:spPr>
          <c:marker>
            <c:symbol val="none"/>
          </c:marker>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Feriados'!$B$39:$K$39</c:f>
              <c:numCache>
                <c:formatCode>_ * #,##0_ ;_ * \-#,##0_ ;_ * "-"??_ ;_ @_ </c:formatCode>
                <c:ptCount val="10"/>
                <c:pt idx="0">
                  <c:v>3708300</c:v>
                </c:pt>
                <c:pt idx="1">
                  <c:v>1667100</c:v>
                </c:pt>
                <c:pt idx="2">
                  <c:v>3363100</c:v>
                </c:pt>
                <c:pt idx="3">
                  <c:v>3275600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6-219A-4590-BC95-71D51D740FC0}"/>
            </c:ext>
          </c:extLst>
        </c:ser>
        <c:ser>
          <c:idx val="7"/>
          <c:order val="7"/>
          <c:tx>
            <c:strRef>
              <c:f>'Gráfico Feriados'!$A$40</c:f>
              <c:strCache>
                <c:ptCount val="1"/>
                <c:pt idx="0">
                  <c:v>Gasto promedio 2022</c:v>
                </c:pt>
              </c:strCache>
            </c:strRef>
          </c:tx>
          <c:spPr>
            <a:ln w="34925" cap="rnd">
              <a:solidFill>
                <a:srgbClr val="FFFF00"/>
              </a:solidFill>
              <a:round/>
            </a:ln>
            <a:effectLst>
              <a:outerShdw blurRad="57150" dist="19050" dir="5400000" algn="ctr" rotWithShape="0">
                <a:srgbClr val="000000">
                  <a:alpha val="63000"/>
                </a:srgbClr>
              </a:outerShdw>
            </a:effectLst>
          </c:spPr>
          <c:marker>
            <c:symbol val="none"/>
          </c:marker>
          <c:cat>
            <c:strRef>
              <c:f>'Gráfico Feriados'!$B$32:$K$32</c:f>
              <c:strCache>
                <c:ptCount val="10"/>
                <c:pt idx="0">
                  <c:v>Carnaval</c:v>
                </c:pt>
                <c:pt idx="1">
                  <c:v>Semana Santa</c:v>
                </c:pt>
                <c:pt idx="2">
                  <c:v>Día Trabajo</c:v>
                </c:pt>
                <c:pt idx="3">
                  <c:v>Batalla Pichincha</c:v>
                </c:pt>
                <c:pt idx="4">
                  <c:v>Grito de la Independencia</c:v>
                </c:pt>
                <c:pt idx="5">
                  <c:v>Independencia GYE</c:v>
                </c:pt>
                <c:pt idx="6">
                  <c:v>Finados</c:v>
                </c:pt>
                <c:pt idx="7">
                  <c:v>Fiestas de Quito</c:v>
                </c:pt>
                <c:pt idx="8">
                  <c:v>Navidad</c:v>
                </c:pt>
                <c:pt idx="9">
                  <c:v>Fin de Año</c:v>
                </c:pt>
              </c:strCache>
            </c:strRef>
          </c:cat>
          <c:val>
            <c:numRef>
              <c:f>'Gráfico Feriados'!$B$40:$K$40</c:f>
              <c:numCache>
                <c:formatCode>_ * #,##0_ ;_ * \-#,##0_ ;_ * "-"??_ ;_ @_ </c:formatCode>
                <c:ptCount val="10"/>
                <c:pt idx="0">
                  <c:v>9084100</c:v>
                </c:pt>
                <c:pt idx="1">
                  <c:v>8289800</c:v>
                </c:pt>
                <c:pt idx="2">
                  <c:v>5139420</c:v>
                </c:pt>
                <c:pt idx="3">
                  <c:v>6043640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7-219A-4590-BC95-71D51D740FC0}"/>
            </c:ext>
          </c:extLst>
        </c:ser>
        <c:dLbls>
          <c:showLegendKey val="0"/>
          <c:showVal val="0"/>
          <c:showCatName val="0"/>
          <c:showSerName val="0"/>
          <c:showPercent val="0"/>
          <c:showBubbleSize val="0"/>
        </c:dLbls>
        <c:marker val="1"/>
        <c:smooth val="0"/>
        <c:axId val="94512671"/>
        <c:axId val="94512255"/>
      </c:lineChart>
      <c:catAx>
        <c:axId val="9451142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4511839"/>
        <c:crosses val="autoZero"/>
        <c:auto val="1"/>
        <c:lblAlgn val="ctr"/>
        <c:lblOffset val="100"/>
        <c:noMultiLvlLbl val="0"/>
      </c:catAx>
      <c:valAx>
        <c:axId val="94511839"/>
        <c:scaling>
          <c:orientation val="minMax"/>
        </c:scaling>
        <c:delete val="0"/>
        <c:axPos val="l"/>
        <c:majorGridlines>
          <c:spPr>
            <a:ln w="9525" cap="flat" cmpd="sng" algn="ctr">
              <a:solidFill>
                <a:schemeClr val="lt1">
                  <a:lumMod val="95000"/>
                  <a:alpha val="10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4511423"/>
        <c:crosses val="autoZero"/>
        <c:crossBetween val="between"/>
      </c:valAx>
      <c:valAx>
        <c:axId val="94512255"/>
        <c:scaling>
          <c:orientation val="minMax"/>
        </c:scaling>
        <c:delete val="0"/>
        <c:axPos val="r"/>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4512671"/>
        <c:crosses val="max"/>
        <c:crossBetween val="between"/>
      </c:valAx>
      <c:catAx>
        <c:axId val="94512671"/>
        <c:scaling>
          <c:orientation val="minMax"/>
        </c:scaling>
        <c:delete val="1"/>
        <c:axPos val="b"/>
        <c:numFmt formatCode="General" sourceLinked="1"/>
        <c:majorTickMark val="none"/>
        <c:minorTickMark val="none"/>
        <c:tickLblPos val="nextTo"/>
        <c:crossAx val="94512255"/>
        <c:crosses val="autoZero"/>
        <c:auto val="1"/>
        <c:lblAlgn val="ctr"/>
        <c:lblOffset val="100"/>
        <c:noMultiLvlLbl val="0"/>
      </c:cat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'!$AN$41,'Llegadas '!$AN$43,'Llegadas '!$AN$45,'Llegadas '!$AN$47,'Llegadas '!$AN$49)</c:f>
              <c:strCache>
                <c:ptCount val="5"/>
                <c:pt idx="0">
                  <c:v>Centro Histórico de Quito (e) </c:v>
                </c:pt>
                <c:pt idx="1">
                  <c:v>La Mariscal (e) </c:v>
                </c:pt>
                <c:pt idx="2">
                  <c:v>Noroccidente (e) </c:v>
                </c:pt>
                <c:pt idx="3">
                  <c:v>Mitad del Mundo (e) </c:v>
                </c:pt>
                <c:pt idx="4">
                  <c:v>Parroquias Rurales (e) </c:v>
                </c:pt>
              </c:strCache>
            </c:strRef>
          </c:cat>
          <c:val>
            <c:numRef>
              <c:f>('Llegadas '!$AF$41,'Llegadas '!$AF$43,'Llegadas '!$AF$45,'Llegadas '!$AF$47,'Llegadas '!$AF$49)</c:f>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'!$AN$41,'Llegadas '!$AN$43,'Llegadas '!$AN$45,'Llegadas '!$AN$47,'Llegadas '!$AN$49)</c:f>
              <c:strCache>
                <c:ptCount val="5"/>
                <c:pt idx="0">
                  <c:v>Centro Histórico de Quito (e) </c:v>
                </c:pt>
                <c:pt idx="1">
                  <c:v>La Mariscal (e) </c:v>
                </c:pt>
                <c:pt idx="2">
                  <c:v>Noroccidente (e) </c:v>
                </c:pt>
                <c:pt idx="3">
                  <c:v>Mitad del Mundo (e) </c:v>
                </c:pt>
                <c:pt idx="4">
                  <c:v>Parroquias Rurales (e) </c:v>
                </c:pt>
              </c:strCache>
            </c:strRef>
          </c:cat>
          <c:val>
            <c:numRef>
              <c:f>('Llegadas '!$AL$41,'Llegadas '!$AL$43,'Llegadas '!$AL$45,'Llegadas '!$AL$47,'Llegadas '!$AL$49)</c:f>
              <c:numCache>
                <c:formatCode>_(* #,##0_);_(* \(#,##0\);_(* "-"??_);_(@_)</c:formatCode>
                <c:ptCount val="5"/>
                <c:pt idx="0">
                  <c:v>890.33880555555561</c:v>
                </c:pt>
                <c:pt idx="1">
                  <c:v>78.054444444444457</c:v>
                </c:pt>
                <c:pt idx="2">
                  <c:v>117.08166666666668</c:v>
                </c:pt>
                <c:pt idx="3">
                  <c:v>624.43555555555565</c:v>
                </c:pt>
                <c:pt idx="4">
                  <c:v>156.10888888888891</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'!$AF$33</c:f>
              <c:strCache>
                <c:ptCount val="1"/>
                <c:pt idx="0">
                  <c:v>ene-may</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a:t>Número de visitantes estimados en feriados DMQ</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CB2E-4B26-8271-50F607DB4BDA}"/>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45053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CB2E-4B26-8271-50F607DB4BDA}"/>
            </c:ext>
          </c:extLst>
        </c:ser>
        <c:dLbls>
          <c:showLegendKey val="0"/>
          <c:showVal val="1"/>
          <c:showCatName val="0"/>
          <c:showSerName val="0"/>
          <c:showPercent val="0"/>
          <c:showBubbleSize val="0"/>
        </c:dLbls>
        <c:gapWidth val="100"/>
        <c:overlap val="-24"/>
        <c:axId val="18483888"/>
        <c:axId val="1849886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CB2E-4B26-8271-50F607DB4BD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CB2E-4B26-8271-50F607DB4BD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5-CB2E-4B26-8271-50F607DB4BDA}"/>
                  </c:ext>
                </c:extLst>
              </c15:ser>
            </c15:filteredBarSeries>
          </c:ext>
        </c:extLst>
      </c:barChart>
      <c:catAx>
        <c:axId val="184838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98864"/>
        <c:crosses val="autoZero"/>
        <c:auto val="1"/>
        <c:lblAlgn val="ctr"/>
        <c:lblOffset val="100"/>
        <c:noMultiLvlLbl val="0"/>
      </c:catAx>
      <c:valAx>
        <c:axId val="18498864"/>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83888"/>
        <c:crosses val="autoZero"/>
        <c:crossBetween val="between"/>
        <c:majorUnit val="4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s-EC"/>
              <a:t>Gasto promedio estimado en feriados DMQ</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ndard"/>
        <c:varyColors val="0"/>
        <c:ser>
          <c:idx val="2"/>
          <c:order val="2"/>
          <c:tx>
            <c:strRef>
              <c:f>Resume_FF!$D$50</c:f>
              <c:strCache>
                <c:ptCount val="1"/>
                <c:pt idx="0">
                  <c:v>Gasto promedio 2020</c:v>
                </c:pt>
              </c:strCache>
            </c:strRef>
          </c:tx>
          <c:spPr>
            <a:ln w="22225" cap="rnd">
              <a:solidFill>
                <a:schemeClr val="accent6"/>
              </a:solidFill>
            </a:ln>
            <a:effectLst>
              <a:glow rad="139700">
                <a:schemeClr val="accent6">
                  <a:satMod val="175000"/>
                  <a:alpha val="14000"/>
                </a:schemeClr>
              </a:glow>
            </a:effectLst>
          </c:spPr>
          <c:marker>
            <c:symbol val="none"/>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2-452E-4B0C-A495-0F128B25C71C}"/>
            </c:ext>
          </c:extLst>
        </c:ser>
        <c:ser>
          <c:idx val="3"/>
          <c:order val="3"/>
          <c:tx>
            <c:strRef>
              <c:f>Resume_FF!$D$51</c:f>
              <c:strCache>
                <c:ptCount val="1"/>
                <c:pt idx="0">
                  <c:v>Gasto promedio 2021</c:v>
                </c:pt>
              </c:strCache>
            </c:strRef>
          </c:tx>
          <c:spPr>
            <a:ln w="22225" cap="rnd">
              <a:solidFill>
                <a:schemeClr val="accent2">
                  <a:lumMod val="60000"/>
                </a:schemeClr>
              </a:solidFill>
            </a:ln>
            <a:effectLst>
              <a:glow rad="139700">
                <a:schemeClr val="accent2">
                  <a:lumMod val="60000"/>
                  <a:satMod val="175000"/>
                  <a:alpha val="14000"/>
                </a:schemeClr>
              </a:glow>
            </a:effectLst>
          </c:spPr>
          <c:marker>
            <c:symbol val="none"/>
          </c:marker>
          <c:dLbls>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4505300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3-452E-4B0C-A495-0F128B25C71C}"/>
            </c:ext>
          </c:extLst>
        </c:ser>
        <c:dLbls>
          <c:showLegendKey val="0"/>
          <c:showVal val="1"/>
          <c:showCatName val="0"/>
          <c:showSerName val="0"/>
          <c:showPercent val="0"/>
          <c:showBubbleSize val="0"/>
        </c:dLbls>
        <c:smooth val="0"/>
        <c:axId val="18592880"/>
        <c:axId val="18607856"/>
        <c:extLst>
          <c:ext xmlns:c15="http://schemas.microsoft.com/office/drawing/2012/chart" uri="{02D57815-91ED-43cb-92C2-25804820EDAC}">
            <c15:filteredLineSeries>
              <c15:ser>
                <c:idx val="0"/>
                <c:order val="0"/>
                <c:tx>
                  <c:strRef>
                    <c:extLst>
                      <c:ext uri="{02D57815-91ED-43cb-92C2-25804820EDAC}">
                        <c15:formulaRef>
                          <c15:sqref>Resume_FF!$D$48</c15:sqref>
                        </c15:formulaRef>
                      </c:ext>
                    </c:extLst>
                    <c:strCache>
                      <c:ptCount val="1"/>
                      <c:pt idx="0">
                        <c:v>Gasto promedio 2018</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0-452E-4B0C-A495-0F128B25C71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22225" cap="rnd">
                    <a:solidFill>
                      <a:schemeClr val="accent4"/>
                    </a:solidFill>
                  </a:ln>
                  <a:effectLst>
                    <a:glow rad="139700">
                      <a:schemeClr val="accent4">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1-452E-4B0C-A495-0F128B25C71C}"/>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22225" cap="rnd">
                    <a:solidFill>
                      <a:schemeClr val="accent4">
                        <a:lumMod val="60000"/>
                      </a:schemeClr>
                    </a:solidFill>
                  </a:ln>
                  <a:effectLst>
                    <a:glow rad="139700">
                      <a:schemeClr val="accent4">
                        <a:lumMod val="60000"/>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4-452E-4B0C-A495-0F128B25C71C}"/>
                  </c:ext>
                </c:extLst>
              </c15:ser>
            </c15:filteredLineSeries>
          </c:ext>
        </c:extLst>
      </c:lineChart>
      <c:catAx>
        <c:axId val="1859288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607856"/>
        <c:crosses val="autoZero"/>
        <c:auto val="1"/>
        <c:lblAlgn val="ctr"/>
        <c:lblOffset val="100"/>
        <c:noMultiLvlLbl val="0"/>
      </c:catAx>
      <c:valAx>
        <c:axId val="1860785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592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baseline="0">
                <a:effectLst>
                  <a:outerShdw blurRad="50800" dist="38100" dir="5400000" algn="t" rotWithShape="0">
                    <a:srgbClr val="000000">
                      <a:alpha val="40000"/>
                    </a:srgbClr>
                  </a:outerShdw>
                </a:effectLst>
              </a:rPr>
              <a:t>Visitantes en feriados DMQ</a:t>
            </a:r>
          </a:p>
          <a:p>
            <a:pPr>
              <a:defRPr/>
            </a:pPr>
            <a:r>
              <a:rPr lang="es-EC">
                <a:effectLst/>
              </a:rPr>
              <a:t>Número (#) y gasto promedio ($)</a:t>
            </a:r>
          </a:p>
          <a:p>
            <a:pPr>
              <a:defRPr/>
            </a:pPr>
            <a:r>
              <a:rPr lang="es-EC">
                <a:effectLst/>
              </a:rPr>
              <a:t>estimados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54D7-4979-8E33-41B096B2485D}"/>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45053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54D7-4979-8E33-41B096B2485D}"/>
            </c:ext>
          </c:extLst>
        </c:ser>
        <c:dLbls>
          <c:showLegendKey val="0"/>
          <c:showVal val="0"/>
          <c:showCatName val="0"/>
          <c:showSerName val="0"/>
          <c:showPercent val="0"/>
          <c:showBubbleSize val="0"/>
        </c:dLbls>
        <c:gapWidth val="150"/>
        <c:axId val="263195648"/>
        <c:axId val="26310662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54D7-4979-8E33-41B096B2485D}"/>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54D7-4979-8E33-41B096B2485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4-54D7-4979-8E33-41B096B2485D}"/>
                  </c:ext>
                </c:extLst>
              </c15:ser>
            </c15:filteredBarSeries>
          </c:ext>
        </c:extLst>
      </c:barChart>
      <c:lineChart>
        <c:grouping val="standard"/>
        <c:varyColors val="0"/>
        <c:ser>
          <c:idx val="7"/>
          <c:order val="7"/>
          <c:tx>
            <c:strRef>
              <c:f>Resume_FF!$D$50</c:f>
              <c:strCache>
                <c:ptCount val="1"/>
                <c:pt idx="0">
                  <c:v>Gasto promedio 2020</c:v>
                </c:pt>
              </c:strCache>
            </c:strRef>
          </c:tx>
          <c:spPr>
            <a:ln w="34925" cap="rnd">
              <a:solidFill>
                <a:schemeClr val="accent2">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7-54D7-4979-8E33-41B096B2485D}"/>
            </c:ext>
          </c:extLst>
        </c:ser>
        <c:ser>
          <c:idx val="8"/>
          <c:order val="8"/>
          <c:tx>
            <c:strRef>
              <c:f>Resume_FF!$D$51</c:f>
              <c:strCache>
                <c:ptCount val="1"/>
                <c:pt idx="0">
                  <c:v>Gasto promedio 2021</c:v>
                </c:pt>
              </c:strCache>
            </c:strRef>
          </c:tx>
          <c:spPr>
            <a:ln w="34925" cap="rnd">
              <a:solidFill>
                <a:schemeClr val="accent3">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4505300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8-54D7-4979-8E33-41B096B2485D}"/>
            </c:ext>
          </c:extLst>
        </c:ser>
        <c:dLbls>
          <c:showLegendKey val="0"/>
          <c:showVal val="0"/>
          <c:showCatName val="0"/>
          <c:showSerName val="0"/>
          <c:showPercent val="0"/>
          <c:showBubbleSize val="0"/>
        </c:dLbls>
        <c:marker val="1"/>
        <c:smooth val="0"/>
        <c:axId val="263216448"/>
        <c:axId val="263210624"/>
        <c:extLst>
          <c:ext xmlns:c15="http://schemas.microsoft.com/office/drawing/2012/chart" uri="{02D57815-91ED-43cb-92C2-25804820EDAC}">
            <c15:filteredLineSeries>
              <c15:ser>
                <c:idx val="5"/>
                <c:order val="5"/>
                <c:tx>
                  <c:strRef>
                    <c:extLst>
                      <c:ext uri="{02D57815-91ED-43cb-92C2-25804820EDAC}">
                        <c15:formulaRef>
                          <c15:sqref>Resume_FF!$D$48</c15:sqref>
                        </c15:formulaRef>
                      </c:ext>
                    </c:extLst>
                    <c:strCache>
                      <c:ptCount val="1"/>
                      <c:pt idx="0">
                        <c:v>Gasto promedio 2018</c:v>
                      </c:pt>
                    </c:strCache>
                  </c:strRef>
                </c:tx>
                <c:spPr>
                  <a:ln w="34925" cap="rnd">
                    <a:solidFill>
                      <a:schemeClr val="accent6"/>
                    </a:solidFill>
                    <a:round/>
                  </a:ln>
                  <a:effectLst>
                    <a:outerShdw blurRad="40000" dist="23000" dir="5400000" rotWithShape="0">
                      <a:srgbClr val="000000">
                        <a:alpha val="35000"/>
                      </a:srgbClr>
                    </a:outerShdw>
                  </a:effectLst>
                </c:spPr>
                <c:marker>
                  <c:symbol val="none"/>
                </c:marker>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5-54D7-4979-8E33-41B096B2485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34925"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6-54D7-4979-8E33-41B096B2485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34925" cap="rnd">
                    <a:solidFill>
                      <a:schemeClr val="accent4">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9-54D7-4979-8E33-41B096B2485D}"/>
                  </c:ext>
                </c:extLst>
              </c15:ser>
            </c15:filteredLineSeries>
          </c:ext>
        </c:extLst>
      </c:lineChart>
      <c:catAx>
        <c:axId val="2631956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06624"/>
        <c:crosses val="autoZero"/>
        <c:auto val="1"/>
        <c:lblAlgn val="ctr"/>
        <c:lblOffset val="100"/>
        <c:noMultiLvlLbl val="0"/>
      </c:catAx>
      <c:valAx>
        <c:axId val="263106624"/>
        <c:scaling>
          <c:orientation val="minMax"/>
        </c:scaling>
        <c:delete val="0"/>
        <c:axPos val="l"/>
        <c:majorGridlines>
          <c:spPr>
            <a:ln w="9525" cap="flat" cmpd="sng" algn="ctr">
              <a:solidFill>
                <a:schemeClr val="lt1">
                  <a:lumMod val="95000"/>
                  <a:alpha val="10000"/>
                </a:schemeClr>
              </a:solidFill>
              <a:round/>
            </a:ln>
            <a:effectLst/>
          </c:spPr>
        </c:majorGridlines>
        <c:title>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95648"/>
        <c:crosses val="autoZero"/>
        <c:crossBetween val="between"/>
      </c:valAx>
      <c:valAx>
        <c:axId val="263210624"/>
        <c:scaling>
          <c:orientation val="minMax"/>
        </c:scaling>
        <c:delete val="0"/>
        <c:axPos val="r"/>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216448"/>
        <c:crosses val="max"/>
        <c:crossBetween val="between"/>
      </c:valAx>
      <c:catAx>
        <c:axId val="263216448"/>
        <c:scaling>
          <c:orientation val="minMax"/>
        </c:scaling>
        <c:delete val="1"/>
        <c:axPos val="b"/>
        <c:numFmt formatCode="General" sourceLinked="1"/>
        <c:majorTickMark val="none"/>
        <c:minorTickMark val="none"/>
        <c:tickLblPos val="nextTo"/>
        <c:crossAx val="263210624"/>
        <c:crosses val="autoZero"/>
        <c:auto val="1"/>
        <c:lblAlgn val="ctr"/>
        <c:lblOffset val="100"/>
        <c:noMultiLvlLbl val="0"/>
      </c:cat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200" b="1" i="0" baseline="0">
                <a:effectLst>
                  <a:outerShdw blurRad="50800" dist="38100" dir="5400000" algn="t" rotWithShape="0">
                    <a:srgbClr val="000000">
                      <a:alpha val="40000"/>
                    </a:srgbClr>
                  </a:outerShdw>
                </a:effectLst>
              </a:rPr>
              <a:t>Visitantes en feriados DMQ</a:t>
            </a:r>
            <a:endParaRPr lang="es-EC" sz="1200">
              <a:effectLst/>
            </a:endParaRPr>
          </a:p>
          <a:p>
            <a:pPr>
              <a:defRPr/>
            </a:pPr>
            <a:r>
              <a:rPr lang="es-EC" sz="1200" b="1" i="0" baseline="0">
                <a:effectLst/>
              </a:rPr>
              <a:t>Número (#) y gasto promedio ($)</a:t>
            </a:r>
            <a:endParaRPr lang="es-EC" sz="1200">
              <a:effectLst/>
            </a:endParaRPr>
          </a:p>
          <a:p>
            <a:pPr>
              <a:defRPr/>
            </a:pPr>
            <a:r>
              <a:rPr lang="es-EC" sz="1200" b="1" i="0" baseline="0">
                <a:effectLst/>
              </a:rPr>
              <a:t>estimados</a:t>
            </a:r>
            <a:endParaRPr lang="es-EC"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Resume_FF!$D$44</c:f>
              <c:strCache>
                <c:ptCount val="1"/>
                <c:pt idx="0">
                  <c:v>Visitantes 2021</c:v>
                </c:pt>
              </c:strCache>
            </c:strRef>
          </c:tx>
          <c:spPr>
            <a:solidFill>
              <a:schemeClr val="accent1"/>
            </a:solidFill>
            <a:ln>
              <a:noFill/>
            </a:ln>
            <a:effectLst/>
          </c:spPr>
          <c:invertIfNegative val="0"/>
          <c:dPt>
            <c:idx val="2"/>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4-8353-4CF5-AC85-19CA55611246}"/>
              </c:ext>
            </c:extLst>
          </c:dPt>
          <c:cat>
            <c:strRef>
              <c:f>Resume_FF!$M$3:$O$3</c:f>
              <c:strCache>
                <c:ptCount val="3"/>
                <c:pt idx="0">
                  <c:v>Navidad</c:v>
                </c:pt>
                <c:pt idx="1">
                  <c:v>Fin año</c:v>
                </c:pt>
                <c:pt idx="2">
                  <c:v>Navidad y Fin de Año</c:v>
                </c:pt>
              </c:strCache>
            </c:strRef>
          </c:cat>
          <c:val>
            <c:numRef>
              <c:f>Resume_FF!$M$44:$O$44</c:f>
              <c:numCache>
                <c:formatCode>_(* #,##0_);_(* \(#,##0\);_(* "-"??_);_(@_)</c:formatCode>
                <c:ptCount val="3"/>
                <c:pt idx="0">
                  <c:v>70507</c:v>
                </c:pt>
                <c:pt idx="1">
                  <c:v>62692</c:v>
                </c:pt>
                <c:pt idx="2">
                  <c:v>133199</c:v>
                </c:pt>
              </c:numCache>
            </c:numRef>
          </c:val>
          <c:extLst>
            <c:ext xmlns:c16="http://schemas.microsoft.com/office/drawing/2014/chart" uri="{C3380CC4-5D6E-409C-BE32-E72D297353CC}">
              <c16:uniqueId val="{00000000-8353-4CF5-AC85-19CA55611246}"/>
            </c:ext>
          </c:extLst>
        </c:ser>
        <c:dLbls>
          <c:showLegendKey val="0"/>
          <c:showVal val="0"/>
          <c:showCatName val="0"/>
          <c:showSerName val="0"/>
          <c:showPercent val="0"/>
          <c:showBubbleSize val="0"/>
        </c:dLbls>
        <c:gapWidth val="150"/>
        <c:axId val="633638064"/>
        <c:axId val="633638896"/>
      </c:barChart>
      <c:lineChart>
        <c:grouping val="standard"/>
        <c:varyColors val="0"/>
        <c:ser>
          <c:idx val="1"/>
          <c:order val="1"/>
          <c:tx>
            <c:strRef>
              <c:f>Resume_FF!$D$51</c:f>
              <c:strCache>
                <c:ptCount val="1"/>
                <c:pt idx="0">
                  <c:v>Gasto promedio 2021</c:v>
                </c:pt>
              </c:strCache>
            </c:strRef>
          </c:tx>
          <c:spPr>
            <a:ln w="28575" cap="rnd">
              <a:solidFill>
                <a:schemeClr val="accent2"/>
              </a:solidFill>
              <a:round/>
            </a:ln>
            <a:effectLst/>
          </c:spPr>
          <c:marker>
            <c:symbol val="none"/>
          </c:marker>
          <c:cat>
            <c:strRef>
              <c:f>Resume_FF!$M$3:$O$3</c:f>
              <c:strCache>
                <c:ptCount val="3"/>
                <c:pt idx="0">
                  <c:v>Navidad</c:v>
                </c:pt>
                <c:pt idx="1">
                  <c:v>Fin año</c:v>
                </c:pt>
                <c:pt idx="2">
                  <c:v>Navidad y Fin de Año</c:v>
                </c:pt>
              </c:strCache>
            </c:strRef>
          </c:cat>
          <c:val>
            <c:numRef>
              <c:f>Resume_FF!$M$51:$O$51</c:f>
              <c:numCache>
                <c:formatCode>_(* #,##0_);_(* \(#,##0\);_(* "-"??_);_(@_)</c:formatCode>
                <c:ptCount val="3"/>
                <c:pt idx="0">
                  <c:v>7050700</c:v>
                </c:pt>
                <c:pt idx="1">
                  <c:v>6269200</c:v>
                </c:pt>
                <c:pt idx="2">
                  <c:v>13319900</c:v>
                </c:pt>
              </c:numCache>
            </c:numRef>
          </c:val>
          <c:smooth val="0"/>
          <c:extLst>
            <c:ext xmlns:c16="http://schemas.microsoft.com/office/drawing/2014/chart" uri="{C3380CC4-5D6E-409C-BE32-E72D297353CC}">
              <c16:uniqueId val="{00000001-8353-4CF5-AC85-19CA55611246}"/>
            </c:ext>
          </c:extLst>
        </c:ser>
        <c:dLbls>
          <c:showLegendKey val="0"/>
          <c:showVal val="0"/>
          <c:showCatName val="0"/>
          <c:showSerName val="0"/>
          <c:showPercent val="0"/>
          <c:showBubbleSize val="0"/>
        </c:dLbls>
        <c:marker val="1"/>
        <c:smooth val="0"/>
        <c:axId val="18608272"/>
        <c:axId val="18595376"/>
      </c:lineChart>
      <c:catAx>
        <c:axId val="633638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896"/>
        <c:crosses val="autoZero"/>
        <c:auto val="1"/>
        <c:lblAlgn val="ctr"/>
        <c:lblOffset val="100"/>
        <c:noMultiLvlLbl val="0"/>
      </c:catAx>
      <c:valAx>
        <c:axId val="6336388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064"/>
        <c:crosses val="autoZero"/>
        <c:crossBetween val="between"/>
      </c:valAx>
      <c:valAx>
        <c:axId val="18595376"/>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608272"/>
        <c:crosses val="max"/>
        <c:crossBetween val="between"/>
      </c:valAx>
      <c:catAx>
        <c:axId val="18608272"/>
        <c:scaling>
          <c:orientation val="minMax"/>
        </c:scaling>
        <c:delete val="1"/>
        <c:axPos val="b"/>
        <c:numFmt formatCode="General" sourceLinked="1"/>
        <c:majorTickMark val="out"/>
        <c:minorTickMark val="none"/>
        <c:tickLblPos val="nextTo"/>
        <c:crossAx val="18595376"/>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'NOV-Finados'!$S$1</c:f>
              <c:strCache>
                <c:ptCount val="1"/>
                <c:pt idx="0">
                  <c:v>Feriado de Finados e Independencia de Cuenca: número de llegadas a TERMINALES INTERPROVINCIALES a la ciudad de Quito</c:v>
                </c:pt>
              </c:strCache>
            </c:strRef>
          </c:tx>
          <c:spPr>
            <a:solidFill>
              <a:schemeClr val="accent1"/>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'NOV-Finados'!$Y$3:$Z$3</c:f>
              <c:numCache>
                <c:formatCode>General</c:formatCode>
                <c:ptCount val="2"/>
                <c:pt idx="0">
                  <c:v>2020</c:v>
                </c:pt>
                <c:pt idx="1">
                  <c:v>2021</c:v>
                </c:pt>
              </c:numCache>
            </c:numRef>
          </c:cat>
          <c:val>
            <c:numRef>
              <c:f>'NOV-Finados'!$Y$8:$Z$8</c:f>
              <c:numCache>
                <c:formatCode>#,##0</c:formatCode>
                <c:ptCount val="2"/>
                <c:pt idx="0">
                  <c:v>49326</c:v>
                </c:pt>
                <c:pt idx="1">
                  <c:v>69984</c:v>
                </c:pt>
              </c:numCache>
            </c:numRef>
          </c:val>
          <c:extLst>
            <c:ext xmlns:c16="http://schemas.microsoft.com/office/drawing/2014/chart" uri="{C3380CC4-5D6E-409C-BE32-E72D297353CC}">
              <c16:uniqueId val="{00000001-85EC-4ED6-B58A-E46D5EFDB491}"/>
            </c:ext>
          </c:extLst>
        </c:ser>
        <c:dLbls>
          <c:showLegendKey val="0"/>
          <c:showVal val="0"/>
          <c:showCatName val="0"/>
          <c:showSerName val="0"/>
          <c:showPercent val="0"/>
          <c:showBubbleSize val="0"/>
        </c:dLbls>
        <c:gapWidth val="219"/>
        <c:overlap val="-27"/>
        <c:axId val="76461632"/>
        <c:axId val="76463296"/>
      </c:barChart>
      <c:catAx>
        <c:axId val="7646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3296"/>
        <c:crosses val="autoZero"/>
        <c:auto val="1"/>
        <c:lblAlgn val="ctr"/>
        <c:lblOffset val="100"/>
        <c:noMultiLvlLbl val="0"/>
      </c:catAx>
      <c:valAx>
        <c:axId val="7646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'!$W$37:$AH$37</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'!$W$53:$AH$53</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'!$W$68:$AH$68</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'!$W$79:$AH$79</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'!$W$86:$AH$86</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'!$W$93:$AH$93</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'!$W$100:$AH$100</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'!$W$40:$AH$40</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'!$W$55:$AH$55</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'!$W$69:$AH$69</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'!$W$80:$AH$80</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'!$W$87:$AH$87</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'!$W$94:$AH$94</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'!$W$101:$AH$101</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'!$W$42:$AH$42</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'!$W$57:$AH$57</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'!$W$71:$AH$71</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'!$W$81:$AH$81</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'!$W$88:$AH$88</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'!$W$95:$AH$95</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'!$W$102:$AH$102</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'!$AL$5:$BC$5</c15:sqref>
                  </c15:fullRef>
                </c:ext>
              </c:extLst>
              <c:f>('TOH (hist) '!$AL$5:$AW$5,'TOH (hist) '!$AY$5:$BC$5)</c:f>
              <c:numCache>
                <c:formatCode>0</c:formatCode>
                <c:ptCount val="17"/>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20.21</c:v>
                </c:pt>
                <c:pt idx="16" formatCode="0.00">
                  <c:v>43.677499999999995</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'!$AL$3:$BC$3</c15:sqref>
                  </c15:fullRef>
                </c:ext>
              </c:extLst>
              <c:f>('TOH (hist) '!$AP$3:$AW$3,'TOH (hist) '!$AY$3:$BC$3)</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 (e) </c:v>
                </c:pt>
                <c:pt idx="12">
                  <c:v>2022 (e) </c:v>
                </c:pt>
              </c:strCache>
            </c:strRef>
          </c:cat>
          <c:val>
            <c:numRef>
              <c:extLst>
                <c:ext xmlns:c15="http://schemas.microsoft.com/office/drawing/2012/chart" uri="{02D57815-91ED-43cb-92C2-25804820EDAC}">
                  <c15:fullRef>
                    <c15:sqref>'TOH (hist) '!$AL$5:$BC$5</c15:sqref>
                  </c15:fullRef>
                </c:ext>
              </c:extLst>
              <c:f>('TOH (hist) '!$AP$5:$AW$5,'TOH (hist) '!$AY$5:$BC$5)</c:f>
              <c:numCache>
                <c:formatCode>0</c:formatCode>
                <c:ptCount val="13"/>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20.21</c:v>
                </c:pt>
                <c:pt idx="12" formatCode="0.00">
                  <c:v>43.677499999999995</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'!$N$32</c:f>
              <c:strCache>
                <c:ptCount val="1"/>
                <c:pt idx="0">
                  <c:v>2019</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'!$N$41,'Llegadas '!$N$43,'Llegadas '!$N$45,'Llegadas '!$N$47,'Llegadas '!$N$49)</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'!$O$32</c:f>
              <c:strCache>
                <c:ptCount val="1"/>
                <c:pt idx="0">
                  <c:v>2020</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'!$AN$41,'Llegadas '!$AN$43,'Llegadas '!$AN$45,'Llegadas '!$AN$47,'Llegadas '!$AN$49)</c:f>
              <c:strCache>
                <c:ptCount val="5"/>
                <c:pt idx="0">
                  <c:v>Centro Histórico de Quito (e) </c:v>
                </c:pt>
                <c:pt idx="1">
                  <c:v>La Mariscal (e) </c:v>
                </c:pt>
                <c:pt idx="2">
                  <c:v>Noroccidente (e) </c:v>
                </c:pt>
                <c:pt idx="3">
                  <c:v>Mitad del Mundo (e) </c:v>
                </c:pt>
                <c:pt idx="4">
                  <c:v>Parroquias Rurales (e) </c:v>
                </c:pt>
              </c:strCache>
            </c:strRef>
          </c:cat>
          <c:val>
            <c:numRef>
              <c:f>('Llegadas '!$O$41,'Llegadas '!$O$43,'Llegadas '!$O$45,'Llegadas '!$O$47,'Llegadas '!$O$49)</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'!$P$32</c:f>
              <c:strCache>
                <c:ptCount val="1"/>
                <c:pt idx="0">
                  <c:v>2021</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'!$P$41,'Llegadas '!$P$43,'Llegadas '!$P$45,'Llegadas '!$P$47,'Llegadas '!$P$49)</c:f>
              <c:numCache>
                <c:formatCode>_(* #,##0_);_(* \(#,##0\);_(* "-"??_);_(@_)</c:formatCode>
                <c:ptCount val="5"/>
                <c:pt idx="0">
                  <c:v>188267.32</c:v>
                </c:pt>
                <c:pt idx="1">
                  <c:v>19669.72</c:v>
                </c:pt>
                <c:pt idx="2">
                  <c:v>42149.4</c:v>
                </c:pt>
                <c:pt idx="3">
                  <c:v>224796.80000000002</c:v>
                </c:pt>
                <c:pt idx="4">
                  <c:v>56199.200000000004</c:v>
                </c:pt>
              </c:numCache>
            </c:numRef>
          </c:val>
          <c:extLst>
            <c:ext xmlns:c16="http://schemas.microsoft.com/office/drawing/2014/chart" uri="{C3380CC4-5D6E-409C-BE32-E72D297353CC}">
              <c16:uniqueId val="{00000007-41C4-43C7-A1C5-2640440C33F4}"/>
            </c:ext>
          </c:extLst>
        </c:ser>
        <c:ser>
          <c:idx val="3"/>
          <c:order val="3"/>
          <c:tx>
            <c:strRef>
              <c:f>'Llegadas '!$Q$32</c:f>
              <c:strCache>
                <c:ptCount val="1"/>
                <c:pt idx="0">
                  <c:v>2022 (e)</c:v>
                </c:pt>
              </c:strCache>
            </c:strRef>
          </c:tx>
          <c:spPr>
            <a:solidFill>
              <a:schemeClr val="accent1">
                <a:lumMod val="60000"/>
              </a:schemeClr>
            </a:solidFill>
            <a:ln>
              <a:noFill/>
            </a:ln>
            <a:effectLst/>
          </c:spPr>
          <c:invertIfNegative val="0"/>
          <c:dLbls>
            <c:dLbl>
              <c:idx val="0"/>
              <c:layout>
                <c:manualLayout>
                  <c:x val="5.001470905025983E-3"/>
                  <c:y val="-9.64343516010200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75-4F16-A22A-01598A15EBB1}"/>
                </c:ext>
              </c:extLst>
            </c:dLbl>
            <c:dLbl>
              <c:idx val="1"/>
              <c:layout>
                <c:manualLayout>
                  <c:x val="2.6257722251386485E-2"/>
                  <c:y val="-0.1102106875440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75-4F16-A22A-01598A15EBB1}"/>
                </c:ext>
              </c:extLst>
            </c:dLbl>
            <c:dLbl>
              <c:idx val="2"/>
              <c:layout>
                <c:manualLayout>
                  <c:x val="2.000588362010393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75-4F16-A22A-01598A15EBB1}"/>
                </c:ext>
              </c:extLst>
            </c:dLbl>
            <c:dLbl>
              <c:idx val="3"/>
              <c:layout>
                <c:manualLayout>
                  <c:x val="1.250367726256492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75-4F16-A22A-01598A15EBB1}"/>
                </c:ext>
              </c:extLst>
            </c:dLbl>
            <c:dLbl>
              <c:idx val="4"/>
              <c:layout>
                <c:manualLayout>
                  <c:x val="2.7508089977643032E-2"/>
                  <c:y val="-0.11939491150602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75-4F16-A22A-01598A15EBB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'!$Q$41,'Llegadas '!$Q$43,'Llegadas '!$Q$45,'Llegadas '!$Q$47,'Llegadas '!$Q$49)</c:f>
              <c:numCache>
                <c:formatCode>_(* #,##0_);_(* \(#,##0\);_(* "-"??_);_(@_)</c:formatCode>
                <c:ptCount val="5"/>
                <c:pt idx="0">
                  <c:v>320521.97000000003</c:v>
                </c:pt>
                <c:pt idx="1">
                  <c:v>28099.600000000002</c:v>
                </c:pt>
                <c:pt idx="2">
                  <c:v>42149.4</c:v>
                </c:pt>
                <c:pt idx="3">
                  <c:v>224796.80000000002</c:v>
                </c:pt>
                <c:pt idx="4">
                  <c:v>56199.200000000004</c:v>
                </c:pt>
              </c:numCache>
            </c:numRef>
          </c:val>
          <c:extLst>
            <c:ext xmlns:c16="http://schemas.microsoft.com/office/drawing/2014/chart" uri="{C3380CC4-5D6E-409C-BE32-E72D297353CC}">
              <c16:uniqueId val="{00000001-CB75-4F16-A22A-01598A15EBB1}"/>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'!$BK$3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'!$BJ$5:$BJ$30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'!$BK$5:$BK$30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'!$CB$1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'!$CB$7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'!$CC$7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'!$CC$8:$CC$16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'!$CD$7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'!$CD$8:$CD$16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TOH anual - dmq</a:t>
            </a:r>
            <a:endParaRPr lang="es-EC">
              <a:effectLst/>
            </a:endParaRPr>
          </a:p>
          <a:p>
            <a:pPr>
              <a:defRPr/>
            </a:pPr>
            <a:r>
              <a:rPr lang="es-ES" sz="1800" b="1" i="0" cap="all" baseline="0">
                <a:effectLst/>
              </a:rPr>
              <a:t>Por categoría de alojamiento </a:t>
            </a:r>
            <a:endParaRPr lang="es-EC">
              <a:effectLst/>
            </a:endParaRPr>
          </a:p>
          <a:p>
            <a:pPr>
              <a:defRPr/>
            </a:pPr>
            <a:r>
              <a:rPr lang="es-ES" sz="1800" b="1" i="0" cap="all" baseline="0">
                <a:effectLst/>
              </a:rPr>
              <a:t>(%)</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'TOH (hist) '!$AK$6</c:f>
              <c:strCache>
                <c:ptCount val="1"/>
                <c:pt idx="0">
                  <c:v>5 estrellas -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'!$AL$6:$BC$6</c15:sqref>
                  </c15:fullRef>
                </c:ext>
              </c:extLst>
              <c:f>('TOH (hist) '!$AL$6:$AW$6,'TOH (hist) '!$AY$6:$BC$6)</c:f>
              <c:numCache>
                <c:formatCode>0</c:formatCode>
                <c:ptCount val="17"/>
                <c:pt idx="0">
                  <c:v>67.85119661120612</c:v>
                </c:pt>
                <c:pt idx="1">
                  <c:v>71.102153932831911</c:v>
                </c:pt>
                <c:pt idx="2">
                  <c:v>71.50575775394951</c:v>
                </c:pt>
                <c:pt idx="3">
                  <c:v>62.861776384029497</c:v>
                </c:pt>
                <c:pt idx="4">
                  <c:v>66.861811372641952</c:v>
                </c:pt>
                <c:pt idx="5">
                  <c:v>69.368258591218705</c:v>
                </c:pt>
                <c:pt idx="6">
                  <c:v>74.754902797291749</c:v>
                </c:pt>
                <c:pt idx="7">
                  <c:v>72.996543651867498</c:v>
                </c:pt>
                <c:pt idx="8">
                  <c:v>71.928309465167587</c:v>
                </c:pt>
                <c:pt idx="9">
                  <c:v>64.822142260364402</c:v>
                </c:pt>
                <c:pt idx="10" formatCode="0.0">
                  <c:v>56.255716656902933</c:v>
                </c:pt>
                <c:pt idx="11" formatCode="0.0">
                  <c:v>55.680000000000007</c:v>
                </c:pt>
                <c:pt idx="12" formatCode="0.0">
                  <c:v>58.598333333333329</c:v>
                </c:pt>
                <c:pt idx="13" formatCode="0.0">
                  <c:v>49.59</c:v>
                </c:pt>
                <c:pt idx="14" formatCode="0.0">
                  <c:v>17.36</c:v>
                </c:pt>
                <c:pt idx="15" formatCode="0.0">
                  <c:v>31.02</c:v>
                </c:pt>
                <c:pt idx="16" formatCode="0.0">
                  <c:v>42.28</c:v>
                </c:pt>
              </c:numCache>
            </c:numRef>
          </c:val>
          <c:smooth val="0"/>
          <c:extLst>
            <c:ext xmlns:c16="http://schemas.microsoft.com/office/drawing/2014/chart" uri="{C3380CC4-5D6E-409C-BE32-E72D297353CC}">
              <c16:uniqueId val="{00000001-6AED-441E-99A5-96BCF9FE71E1}"/>
            </c:ext>
          </c:extLst>
        </c:ser>
        <c:ser>
          <c:idx val="1"/>
          <c:order val="1"/>
          <c:tx>
            <c:strRef>
              <c:f>'TOH (hist) '!$AK$7</c:f>
              <c:strCache>
                <c:ptCount val="1"/>
                <c:pt idx="0">
                  <c:v>4 Estrellas -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'!$AL$7:$BC$7</c15:sqref>
                  </c15:fullRef>
                </c:ext>
              </c:extLst>
              <c:f>('TOH (hist) '!$AL$7:$AW$7,'TOH (hist) '!$AY$7:$BC$7)</c:f>
              <c:numCache>
                <c:formatCode>0</c:formatCode>
                <c:ptCount val="17"/>
                <c:pt idx="0">
                  <c:v>45.725166885376801</c:v>
                </c:pt>
                <c:pt idx="1">
                  <c:v>49.828368996479348</c:v>
                </c:pt>
                <c:pt idx="2">
                  <c:v>52.801422006218871</c:v>
                </c:pt>
                <c:pt idx="3">
                  <c:v>49.163328262440885</c:v>
                </c:pt>
                <c:pt idx="4">
                  <c:v>53.046269359602803</c:v>
                </c:pt>
                <c:pt idx="5">
                  <c:v>55.398690212968717</c:v>
                </c:pt>
                <c:pt idx="6">
                  <c:v>58.917943104015279</c:v>
                </c:pt>
                <c:pt idx="7">
                  <c:v>61.425279513620964</c:v>
                </c:pt>
                <c:pt idx="8">
                  <c:v>61.063023474311244</c:v>
                </c:pt>
                <c:pt idx="9">
                  <c:v>55.378711204374724</c:v>
                </c:pt>
                <c:pt idx="10" formatCode="0.0">
                  <c:v>48.255950576103231</c:v>
                </c:pt>
                <c:pt idx="11" formatCode="0.0">
                  <c:v>50.666666666666664</c:v>
                </c:pt>
                <c:pt idx="12" formatCode="0.0">
                  <c:v>55</c:v>
                </c:pt>
                <c:pt idx="13" formatCode="0.0">
                  <c:v>38.630000000000003</c:v>
                </c:pt>
                <c:pt idx="14" formatCode="0.0">
                  <c:v>6.73</c:v>
                </c:pt>
                <c:pt idx="15" formatCode="0.0">
                  <c:v>22.01</c:v>
                </c:pt>
                <c:pt idx="16" formatCode="0.0">
                  <c:v>45.814999999999998</c:v>
                </c:pt>
              </c:numCache>
            </c:numRef>
          </c:val>
          <c:smooth val="0"/>
          <c:extLst>
            <c:ext xmlns:c16="http://schemas.microsoft.com/office/drawing/2014/chart" uri="{C3380CC4-5D6E-409C-BE32-E72D297353CC}">
              <c16:uniqueId val="{00000003-6AED-441E-99A5-96BCF9FE71E1}"/>
            </c:ext>
          </c:extLst>
        </c:ser>
        <c:ser>
          <c:idx val="2"/>
          <c:order val="2"/>
          <c:tx>
            <c:strRef>
              <c:f>'TOH (hist) '!$AK$8</c:f>
              <c:strCache>
                <c:ptCount val="1"/>
                <c:pt idx="0">
                  <c:v>3 Estrellas -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'!$AL$8:$BC$8</c15:sqref>
                  </c15:fullRef>
                </c:ext>
              </c:extLst>
              <c:f>('TOH (hist) '!$AL$8:$AW$8,'TOH (hist) '!$AY$8:$BC$8)</c:f>
              <c:numCache>
                <c:formatCode>0</c:formatCode>
                <c:ptCount val="17"/>
                <c:pt idx="0">
                  <c:v>33.695896638353872</c:v>
                </c:pt>
                <c:pt idx="1">
                  <c:v>37.241662894922221</c:v>
                </c:pt>
                <c:pt idx="2">
                  <c:v>39.832995607695793</c:v>
                </c:pt>
                <c:pt idx="3">
                  <c:v>39.618641966407949</c:v>
                </c:pt>
                <c:pt idx="4">
                  <c:v>40.020842075944657</c:v>
                </c:pt>
                <c:pt idx="5">
                  <c:v>39.850230173474912</c:v>
                </c:pt>
                <c:pt idx="6">
                  <c:v>42.948439320799231</c:v>
                </c:pt>
                <c:pt idx="7">
                  <c:v>42.685597701509735</c:v>
                </c:pt>
                <c:pt idx="8">
                  <c:v>40.793439968219424</c:v>
                </c:pt>
                <c:pt idx="9">
                  <c:v>40.019455322143479</c:v>
                </c:pt>
                <c:pt idx="10" formatCode="0.0">
                  <c:v>36.569361252115065</c:v>
                </c:pt>
                <c:pt idx="11" formatCode="0.0">
                  <c:v>27.666666666666668</c:v>
                </c:pt>
                <c:pt idx="12" formatCode="0.0">
                  <c:v>43.385741017973068</c:v>
                </c:pt>
                <c:pt idx="13" formatCode="0.0">
                  <c:v>22.35</c:v>
                </c:pt>
                <c:pt idx="14" formatCode="0.0">
                  <c:v>6.46</c:v>
                </c:pt>
                <c:pt idx="15" formatCode="0.0">
                  <c:v>13.15</c:v>
                </c:pt>
                <c:pt idx="16" formatCode="0.0">
                  <c:v>23.14095683632884</c:v>
                </c:pt>
              </c:numCache>
            </c:numRef>
          </c:val>
          <c:smooth val="0"/>
          <c:extLst>
            <c:ext xmlns:c16="http://schemas.microsoft.com/office/drawing/2014/chart" uri="{C3380CC4-5D6E-409C-BE32-E72D297353CC}">
              <c16:uniqueId val="{00000004-6AED-441E-99A5-96BCF9FE71E1}"/>
            </c:ext>
          </c:extLst>
        </c:ser>
        <c:dLbls>
          <c:showLegendKey val="0"/>
          <c:showVal val="1"/>
          <c:showCatName val="0"/>
          <c:showSerName val="0"/>
          <c:showPercent val="0"/>
          <c:showBubbleSize val="0"/>
        </c:dLbls>
        <c:marker val="1"/>
        <c:smooth val="0"/>
        <c:axId val="-957604928"/>
        <c:axId val="-957603840"/>
      </c:lineChart>
      <c:catAx>
        <c:axId val="-95760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1"/>
        <c:axPos val="l"/>
        <c:numFmt formatCode="0" sourceLinked="1"/>
        <c:majorTickMark val="none"/>
        <c:minorTickMark val="none"/>
        <c:tickLblPos val="nextTo"/>
        <c:crossAx val="-957604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ocupada'!$GC$7:$GS$7</c:f>
              <c:numCache>
                <c:formatCode>0.0</c:formatCode>
                <c:ptCount val="8"/>
                <c:pt idx="0">
                  <c:v>74.014241640131232</c:v>
                </c:pt>
                <c:pt idx="1">
                  <c:v>75.128842081056305</c:v>
                </c:pt>
                <c:pt idx="2">
                  <c:v>74.830703976826754</c:v>
                </c:pt>
                <c:pt idx="3">
                  <c:v>73.867485097172107</c:v>
                </c:pt>
                <c:pt idx="4">
                  <c:v>76.849999999999994</c:v>
                </c:pt>
                <c:pt idx="5">
                  <c:v>72.569999999999993</c:v>
                </c:pt>
                <c:pt idx="6">
                  <c:v>86.74</c:v>
                </c:pt>
                <c:pt idx="7">
                  <c:v>68.163611420598201</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'Tarifa Promedio Hab ocupada'!$B$8</c:f>
              <c:strCache>
                <c:ptCount val="1"/>
                <c:pt idx="0">
                  <c:v>5 estrellas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B32C-4EAD-BDDD-A6C53E0A7C9E}"/>
              </c:ext>
            </c:extLst>
          </c:dPt>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32C-4EAD-BDDD-A6C53E0A7C9E}"/>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ocupada'!$GC$8:$GS$8</c:f>
              <c:numCache>
                <c:formatCode>0.0</c:formatCode>
                <c:ptCount val="8"/>
                <c:pt idx="0">
                  <c:v>109.76973658136149</c:v>
                </c:pt>
                <c:pt idx="1">
                  <c:v>111.32438408792268</c:v>
                </c:pt>
                <c:pt idx="2">
                  <c:v>110.77102068584797</c:v>
                </c:pt>
                <c:pt idx="3">
                  <c:v>100.971</c:v>
                </c:pt>
                <c:pt idx="4">
                  <c:v>97.01</c:v>
                </c:pt>
                <c:pt idx="5">
                  <c:v>101.03</c:v>
                </c:pt>
                <c:pt idx="6">
                  <c:v>118.27</c:v>
                </c:pt>
                <c:pt idx="7">
                  <c:v>101.4825</c:v>
                </c:pt>
              </c:numCache>
            </c:numRef>
          </c:val>
          <c:smooth val="0"/>
          <c:extLst>
            <c:ext xmlns:c16="http://schemas.microsoft.com/office/drawing/2014/chart" uri="{C3380CC4-5D6E-409C-BE32-E72D297353CC}">
              <c16:uniqueId val="{00000003-B32C-4EAD-BDDD-A6C53E0A7C9E}"/>
            </c:ext>
          </c:extLst>
        </c:ser>
        <c:ser>
          <c:idx val="1"/>
          <c:order val="1"/>
          <c:tx>
            <c:strRef>
              <c:f>'Tarifa Promedio Hab ocupada'!$B$9</c:f>
              <c:strCache>
                <c:ptCount val="1"/>
                <c:pt idx="0">
                  <c:v>4 estrellas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ocupada'!$GC$9:$GS$9</c:f>
              <c:numCache>
                <c:formatCode>0.0</c:formatCode>
                <c:ptCount val="8"/>
                <c:pt idx="0">
                  <c:v>70.751485187846001</c:v>
                </c:pt>
                <c:pt idx="1">
                  <c:v>73.191647386778854</c:v>
                </c:pt>
                <c:pt idx="2">
                  <c:v>72.461903330985947</c:v>
                </c:pt>
                <c:pt idx="3">
                  <c:v>65.051999999999992</c:v>
                </c:pt>
                <c:pt idx="4">
                  <c:v>78.28</c:v>
                </c:pt>
                <c:pt idx="5">
                  <c:v>73.77</c:v>
                </c:pt>
                <c:pt idx="6">
                  <c:v>83.98</c:v>
                </c:pt>
                <c:pt idx="7">
                  <c:v>59.494999999999997</c:v>
                </c:pt>
              </c:numCache>
            </c:numRef>
          </c:val>
          <c:smooth val="0"/>
          <c:extLst>
            <c:ext xmlns:c16="http://schemas.microsoft.com/office/drawing/2014/chart" uri="{C3380CC4-5D6E-409C-BE32-E72D297353CC}">
              <c16:uniqueId val="{00000005-B32C-4EAD-BDDD-A6C53E0A7C9E}"/>
            </c:ext>
          </c:extLst>
        </c:ser>
        <c:ser>
          <c:idx val="2"/>
          <c:order val="2"/>
          <c:tx>
            <c:strRef>
              <c:f>'Tarifa Promedio Hab ocupada'!$B$10</c:f>
              <c:strCache>
                <c:ptCount val="1"/>
                <c:pt idx="0">
                  <c:v>3 estrellas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ocupada'!$GC$10:$GS$10</c:f>
              <c:numCache>
                <c:formatCode>0.0</c:formatCode>
                <c:ptCount val="8"/>
                <c:pt idx="0">
                  <c:v>29.809169797596006</c:v>
                </c:pt>
                <c:pt idx="1">
                  <c:v>29.263269989189585</c:v>
                </c:pt>
                <c:pt idx="2">
                  <c:v>29.566671308973152</c:v>
                </c:pt>
                <c:pt idx="3">
                  <c:v>33</c:v>
                </c:pt>
                <c:pt idx="4">
                  <c:v>41.45</c:v>
                </c:pt>
                <c:pt idx="5">
                  <c:v>53.37</c:v>
                </c:pt>
                <c:pt idx="6">
                  <c:v>60.18</c:v>
                </c:pt>
                <c:pt idx="7">
                  <c:v>43.513334261794633</c:v>
                </c:pt>
              </c:numCache>
            </c:numRef>
          </c:val>
          <c:smooth val="0"/>
          <c:extLst>
            <c:ext xmlns:c16="http://schemas.microsoft.com/office/drawing/2014/chart" uri="{C3380CC4-5D6E-409C-BE32-E72D297353CC}">
              <c16:uniqueId val="{00000006-B32C-4EAD-BDDD-A6C53E0A7C9E}"/>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1"/>
        <c:axPos val="l"/>
        <c:numFmt formatCode="0.0" sourceLinked="1"/>
        <c:majorTickMark val="none"/>
        <c:minorTickMark val="none"/>
        <c:tickLblPos val="none"/>
        <c:crossAx val="-956937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hotelera'!$D$4:$T$4</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pt idx="16">
                  <c:v>2022 (e) </c:v>
                </c:pt>
              </c:strCache>
            </c:strRef>
          </c:cat>
          <c:val>
            <c:numRef>
              <c:f>'Estancia hotelera'!$D$19:$T$19</c:f>
              <c:numCache>
                <c:formatCode>0.00</c:formatCode>
                <c:ptCount val="17"/>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1.1399999999999999</c:v>
                </c:pt>
                <c:pt idx="16">
                  <c:v>1.4440973779337065</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dLbls>
          <c:dLblPos val="outEnd"/>
          <c:showLegendKey val="0"/>
          <c:showVal val="1"/>
          <c:showCatName val="0"/>
          <c:showSerName val="0"/>
          <c:showPercent val="0"/>
          <c:showBubbleSize val="0"/>
        </c:dLbls>
        <c:gapWidth val="444"/>
        <c:overlap val="-90"/>
        <c:axId val="-957758656"/>
        <c:axId val="-957751584"/>
        <c:extLst>
          <c:ext xmlns:c15="http://schemas.microsoft.com/office/drawing/2012/chart" uri="{02D57815-91ED-43cb-92C2-25804820EDAC}">
            <c15:filteredBarSeries>
              <c15:ser>
                <c:idx val="0"/>
                <c:order val="0"/>
                <c:spPr>
                  <a:solidFill>
                    <a:schemeClr val="accent1"/>
                  </a:solidFill>
                  <a:ln>
                    <a:noFill/>
                  </a:ln>
                  <a:effectLst/>
                </c:spPr>
                <c:invertIfNegative val="0"/>
                <c:dPt>
                  <c:idx val="3"/>
                  <c:invertIfNegative val="0"/>
                  <c:bubble3D val="0"/>
                  <c:extLst>
                    <c:ext xmlns:c16="http://schemas.microsoft.com/office/drawing/2014/chart" uri="{C3380CC4-5D6E-409C-BE32-E72D297353CC}">
                      <c16:uniqueId val="{00000001-5B7A-4616-8A03-26BD3A9F21D5}"/>
                    </c:ext>
                  </c:extLst>
                </c:dPt>
                <c:dPt>
                  <c:idx val="4"/>
                  <c:invertIfNegative val="0"/>
                  <c:bubble3D val="0"/>
                  <c:extLst>
                    <c:ext xmlns:c16="http://schemas.microsoft.com/office/drawing/2014/chart" uri="{C3380CC4-5D6E-409C-BE32-E72D297353CC}">
                      <c16:uniqueId val="{00000003-5B7A-4616-8A03-26BD3A9F21D5}"/>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5B7A-4616-8A03-26BD3A9F21D5}"/>
                  </c:ext>
                </c:extLst>
              </c15:ser>
            </c15:filteredBarSeries>
          </c:ext>
        </c:extLst>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dLbls>
          <c:showLegendKey val="0"/>
          <c:showVal val="1"/>
          <c:showCatName val="0"/>
          <c:showSerName val="0"/>
          <c:showPercent val="0"/>
          <c:showBubbleSize val="0"/>
        </c:dLbls>
        <c:marker val="1"/>
        <c:smooth val="0"/>
        <c:axId val="-955697040"/>
        <c:axId val="-955695952"/>
        <c:extLst>
          <c:ext xmlns:c15="http://schemas.microsoft.com/office/drawing/2012/chart" uri="{02D57815-91ED-43cb-92C2-25804820EDAC}">
            <c15:filteredLineSeries>
              <c15: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F70C-4F81-B412-3379E6A7F00A}"/>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3-F70C-4F81-B412-3379E6A7F00A}"/>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smooth val="0"/>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F70C-4F81-B412-3379E6A7F00A}"/>
                  </c:ext>
                </c:extLst>
              </c15:ser>
            </c15:filteredLineSeries>
          </c:ext>
        </c:extLst>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TOH - TASA DE OCUPACIÓN HOTELERA - DMQ</a:t>
            </a:r>
          </a:p>
          <a:p>
            <a:pPr>
              <a:defRPr/>
            </a:pPr>
            <a:r>
              <a:rPr lang="en-US"/>
              <a:t>MESES DE DICIEMBRE</a:t>
            </a:r>
            <a:r>
              <a:rPr lang="en-US" baseline="0"/>
              <a:t> COMPARATIVO</a:t>
            </a:r>
          </a:p>
          <a:p>
            <a:pPr>
              <a:defRPr/>
            </a:pPr>
            <a:r>
              <a:rPr lang="en-US" baseline="0"/>
              <a:t>(%)</a:t>
            </a:r>
            <a:endParaRPr lang="en-US"/>
          </a:p>
        </c:rich>
      </c:tx>
      <c:layout>
        <c:manualLayout>
          <c:xMode val="edge"/>
          <c:yMode val="edge"/>
          <c:x val="0.20793277595380769"/>
          <c:y val="2.4013753423657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'TOH (hist)  (2)'!$C$23</c:f>
              <c:strCache>
                <c:ptCount val="1"/>
                <c:pt idx="0">
                  <c:v>TOH 2019 (e) </c:v>
                </c:pt>
              </c:strCache>
            </c:strRef>
          </c:tx>
          <c:spPr>
            <a:solidFill>
              <a:schemeClr val="accent1"/>
            </a:soli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(2)'!$N$26</c:f>
              <c:numCache>
                <c:formatCode>0.00</c:formatCode>
                <c:ptCount val="1"/>
                <c:pt idx="0">
                  <c:v>35.700000000000003</c:v>
                </c:pt>
              </c:numCache>
            </c:numRef>
          </c:val>
          <c:extLst>
            <c:ext xmlns:c16="http://schemas.microsoft.com/office/drawing/2014/chart" uri="{C3380CC4-5D6E-409C-BE32-E72D297353CC}">
              <c16:uniqueId val="{00000000-A950-4DF5-B300-D2B14E9237DD}"/>
            </c:ext>
          </c:extLst>
        </c:ser>
        <c:ser>
          <c:idx val="1"/>
          <c:order val="1"/>
          <c:tx>
            <c:strRef>
              <c:f>'TOH (hist)  (2)'!$C$14</c:f>
              <c:strCache>
                <c:ptCount val="1"/>
                <c:pt idx="0">
                  <c:v>TOH 2020</c:v>
                </c:pt>
              </c:strCache>
            </c:strRef>
          </c:tx>
          <c:spPr>
            <a:solidFill>
              <a:schemeClr val="accent2"/>
            </a:soli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(2)'!$N$16</c:f>
              <c:numCache>
                <c:formatCode>0.0</c:formatCode>
                <c:ptCount val="1"/>
                <c:pt idx="0">
                  <c:v>17</c:v>
                </c:pt>
              </c:numCache>
            </c:numRef>
          </c:val>
          <c:extLst>
            <c:ext xmlns:c16="http://schemas.microsoft.com/office/drawing/2014/chart" uri="{C3380CC4-5D6E-409C-BE32-E72D297353CC}">
              <c16:uniqueId val="{00000001-A950-4DF5-B300-D2B14E9237DD}"/>
            </c:ext>
          </c:extLst>
        </c:ser>
        <c:ser>
          <c:idx val="2"/>
          <c:order val="2"/>
          <c:tx>
            <c:strRef>
              <c:f>'TOH (hist)  (2)'!$C$4</c:f>
              <c:strCache>
                <c:ptCount val="1"/>
                <c:pt idx="0">
                  <c:v>TOH 2021</c:v>
                </c:pt>
              </c:strCache>
            </c:strRef>
          </c:tx>
          <c:spPr>
            <a:solidFill>
              <a:schemeClr val="accent3"/>
            </a:soli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(2)'!$N$7</c:f>
              <c:numCache>
                <c:formatCode>0.0</c:formatCode>
                <c:ptCount val="1"/>
                <c:pt idx="0">
                  <c:v>25</c:v>
                </c:pt>
              </c:numCache>
            </c:numRef>
          </c:val>
          <c:extLst>
            <c:ext xmlns:c16="http://schemas.microsoft.com/office/drawing/2014/chart" uri="{C3380CC4-5D6E-409C-BE32-E72D297353CC}">
              <c16:uniqueId val="{00000002-A950-4DF5-B300-D2B14E9237DD}"/>
            </c:ext>
          </c:extLst>
        </c:ser>
        <c:dLbls>
          <c:showLegendKey val="0"/>
          <c:showVal val="0"/>
          <c:showCatName val="0"/>
          <c:showSerName val="0"/>
          <c:showPercent val="0"/>
          <c:showBubbleSize val="0"/>
        </c:dLbls>
        <c:gapWidth val="15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INGRESOS POR ACTIVIDAD DE ALOJAMIENTO EN EL DMQ</a:t>
            </a:r>
          </a:p>
          <a:p>
            <a:pPr>
              <a:defRPr/>
            </a:pPr>
            <a:r>
              <a:rPr lang="en-US"/>
              <a:t>MESES DE DICIEMBRE COMPARATIVO</a:t>
            </a:r>
          </a:p>
          <a:p>
            <a:pPr>
              <a:defRPr/>
            </a:pPr>
            <a:r>
              <a:rPr lang="en-US"/>
              <a:t>(MILES</a:t>
            </a:r>
            <a:r>
              <a:rPr lang="en-US" baseline="0"/>
              <a:t> DE US$)</a:t>
            </a:r>
            <a:endParaRPr lang="en-US"/>
          </a:p>
        </c:rich>
      </c:tx>
      <c:layout>
        <c:manualLayout>
          <c:xMode val="edge"/>
          <c:yMode val="edge"/>
          <c:x val="0.1152647249753546"/>
          <c:y val="3.0842172727350931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'Ingresos (hist)'!$C$24</c:f>
              <c:strCache>
                <c:ptCount val="1"/>
                <c:pt idx="0">
                  <c:v>INGRESOS 2019 (e) </c:v>
                </c:pt>
              </c:strCache>
            </c:strRef>
          </c:tx>
          <c:spPr>
            <a:gradFill>
              <a:gsLst>
                <a:gs pos="100000">
                  <a:schemeClr val="accent1">
                    <a:alpha val="0"/>
                  </a:schemeClr>
                </a:gs>
                <a:gs pos="50000">
                  <a:schemeClr val="accent1"/>
                </a:gs>
              </a:gsLst>
              <a:lin ang="5400000" scaled="0"/>
            </a:gra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(hist)'!$N$27</c:f>
              <c:numCache>
                <c:formatCode>_(* #,##0.00_);_(* \(#,##0.00\);_(* "-"??_);_(@_)</c:formatCode>
                <c:ptCount val="1"/>
                <c:pt idx="0">
                  <c:v>1865</c:v>
                </c:pt>
              </c:numCache>
            </c:numRef>
          </c:val>
          <c:extLst>
            <c:ext xmlns:c16="http://schemas.microsoft.com/office/drawing/2014/chart" uri="{C3380CC4-5D6E-409C-BE32-E72D297353CC}">
              <c16:uniqueId val="{00000000-ECB9-4161-B985-FB434453A964}"/>
            </c:ext>
          </c:extLst>
        </c:ser>
        <c:ser>
          <c:idx val="1"/>
          <c:order val="1"/>
          <c:tx>
            <c:strRef>
              <c:f>'Ingresos (hist)'!$C$14</c:f>
              <c:strCache>
                <c:ptCount val="1"/>
                <c:pt idx="0">
                  <c:v>INGRESOS 2020</c:v>
                </c:pt>
              </c:strCache>
            </c:strRef>
          </c:tx>
          <c:spPr>
            <a:gradFill>
              <a:gsLst>
                <a:gs pos="100000">
                  <a:schemeClr val="accent2">
                    <a:alpha val="0"/>
                  </a:schemeClr>
                </a:gs>
                <a:gs pos="50000">
                  <a:schemeClr val="accent2"/>
                </a:gs>
              </a:gsLst>
              <a:lin ang="5400000" scaled="0"/>
            </a:gra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(hist)'!$N$17</c:f>
              <c:numCache>
                <c:formatCode>_(* #,##0.00_);_(* \(#,##0.00\);_(* "-"??_);_(@_)</c:formatCode>
                <c:ptCount val="1"/>
                <c:pt idx="0">
                  <c:v>400</c:v>
                </c:pt>
              </c:numCache>
            </c:numRef>
          </c:val>
          <c:extLst>
            <c:ext xmlns:c16="http://schemas.microsoft.com/office/drawing/2014/chart" uri="{C3380CC4-5D6E-409C-BE32-E72D297353CC}">
              <c16:uniqueId val="{00000001-ECB9-4161-B985-FB434453A964}"/>
            </c:ext>
          </c:extLst>
        </c:ser>
        <c:ser>
          <c:idx val="2"/>
          <c:order val="2"/>
          <c:tx>
            <c:strRef>
              <c:f>'Ingresos (hist)'!$C$4</c:f>
              <c:strCache>
                <c:ptCount val="1"/>
                <c:pt idx="0">
                  <c:v>INGRESOS 2021</c:v>
                </c:pt>
              </c:strCache>
            </c:strRef>
          </c:tx>
          <c:spPr>
            <a:gradFill>
              <a:gsLst>
                <a:gs pos="100000">
                  <a:schemeClr val="accent3">
                    <a:alpha val="0"/>
                  </a:schemeClr>
                </a:gs>
                <a:gs pos="50000">
                  <a:schemeClr val="accent3"/>
                </a:gs>
              </a:gsLst>
              <a:lin ang="5400000" scaled="0"/>
            </a:gra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(hist)'!$N$7</c:f>
              <c:numCache>
                <c:formatCode>_(* #,##0.00_);_(* \(#,##0.00\);_(* "-"??_);_(@_)</c:formatCode>
                <c:ptCount val="1"/>
                <c:pt idx="0">
                  <c:v>750</c:v>
                </c:pt>
              </c:numCache>
            </c:numRef>
          </c:val>
          <c:extLst>
            <c:ext xmlns:c16="http://schemas.microsoft.com/office/drawing/2014/chart" uri="{C3380CC4-5D6E-409C-BE32-E72D297353CC}">
              <c16:uniqueId val="{00000002-ECB9-4161-B985-FB434453A964}"/>
            </c:ext>
          </c:extLst>
        </c:ser>
        <c:dLbls>
          <c:showLegendKey val="0"/>
          <c:showVal val="0"/>
          <c:showCatName val="0"/>
          <c:showSerName val="0"/>
          <c:showPercent val="0"/>
          <c:showBubbleSize val="0"/>
        </c:dLbls>
        <c:gapWidth val="150"/>
        <c:gapDepth val="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5000"/>
                  <a:lumOff val="9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4875415080057239E-2"/>
          <c:y val="0.1566243162129945"/>
          <c:w val="0.88962557863167646"/>
          <c:h val="0.76712285903440247"/>
        </c:manualLayout>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nacionalidad'!$C$7,'Llegadas x nacionalidad'!$C$8,'Llegadas x nacionalidad'!$C$9,'Llegadas x nacionalidad'!$C$10,'Llegadas x nacionalidad'!$C$11,'Llegadas x nacionalidad'!$C$12,'Llegadas x nacionalidad'!$C$14,'Llegadas x nacionalidad'!$C$16,'Llegadas x nacionalidad'!$C$19,'Llegadas x nacionalidad'!$C$21,'Llegadas x nacionalidad'!$C$22,'Llegadas x nacionalidad'!$C$25,'Llegadas x nacionalidad'!$C$44)</c:f>
              <c:strCache>
                <c:ptCount val="13"/>
                <c:pt idx="0">
                  <c:v>Estados Unidos</c:v>
                </c:pt>
                <c:pt idx="1">
                  <c:v>España</c:v>
                </c:pt>
                <c:pt idx="2">
                  <c:v>Colombia</c:v>
                </c:pt>
                <c:pt idx="3">
                  <c:v>México</c:v>
                </c:pt>
                <c:pt idx="4">
                  <c:v>Perú</c:v>
                </c:pt>
                <c:pt idx="5">
                  <c:v>Francia</c:v>
                </c:pt>
                <c:pt idx="6">
                  <c:v>Alemania</c:v>
                </c:pt>
                <c:pt idx="7">
                  <c:v>Brasil</c:v>
                </c:pt>
                <c:pt idx="8">
                  <c:v>Canadá</c:v>
                </c:pt>
                <c:pt idx="9">
                  <c:v>Chile</c:v>
                </c:pt>
                <c:pt idx="10">
                  <c:v>Países Bajo (Holanda)</c:v>
                </c:pt>
                <c:pt idx="11">
                  <c:v>Reino Unido</c:v>
                </c:pt>
                <c:pt idx="12">
                  <c:v>Otros mercados</c:v>
                </c:pt>
              </c:strCache>
            </c:strRef>
          </c:cat>
          <c:val>
            <c:numRef>
              <c:f>('Llegadas x nacionalidad'!$JT$7,'Llegadas x nacionalidad'!$JT$8,'Llegadas x nacionalidad'!$JT$9,'Llegadas x nacionalidad'!$JT$10,'Llegadas x nacionalidad'!$JT$11,'Llegadas x nacionalidad'!$JT$12,'Llegadas x nacionalidad'!$JT$14,'Llegadas x nacionalidad'!$JT$16,'Llegadas x nacionalidad'!$JT$19,'Llegadas x nacionalidad'!$JT$21,'Llegadas x nacionalidad'!$JT$22,'Llegadas x nacionalidad'!$JT$25,'Llegadas x nacionalidad'!$JT$44)</c:f>
              <c:numCache>
                <c:formatCode>#,##0</c:formatCode>
                <c:ptCount val="13"/>
                <c:pt idx="0">
                  <c:v>73017</c:v>
                </c:pt>
                <c:pt idx="1">
                  <c:v>19270</c:v>
                </c:pt>
                <c:pt idx="2">
                  <c:v>19536</c:v>
                </c:pt>
                <c:pt idx="3">
                  <c:v>5316</c:v>
                </c:pt>
                <c:pt idx="4">
                  <c:v>4597</c:v>
                </c:pt>
                <c:pt idx="5">
                  <c:v>4414</c:v>
                </c:pt>
                <c:pt idx="6">
                  <c:v>5661</c:v>
                </c:pt>
                <c:pt idx="7">
                  <c:v>2954</c:v>
                </c:pt>
                <c:pt idx="8">
                  <c:v>5517</c:v>
                </c:pt>
                <c:pt idx="9">
                  <c:v>2766</c:v>
                </c:pt>
                <c:pt idx="10">
                  <c:v>3868</c:v>
                </c:pt>
                <c:pt idx="11">
                  <c:v>5018</c:v>
                </c:pt>
                <c:pt idx="12" formatCode="_(* #,##0_);_(* \(#,##0\);_(* &quot;-&quot;??_);_(@_)">
                  <c:v>26850</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UIO'!$B$22:$B$23</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UIO'!$C$23:$D$23</c:f>
              <c:strCache>
                <c:ptCount val="2"/>
                <c:pt idx="0">
                  <c:v>URBANOS </c:v>
                </c:pt>
                <c:pt idx="1">
                  <c:v>RURALES</c:v>
                </c:pt>
              </c:strCache>
            </c:strRef>
          </c:cat>
          <c:val>
            <c:numRef>
              <c:f>'establecimientos UIO'!$C$24:$D$24</c:f>
              <c:numCache>
                <c:formatCode>_(* #,##0_);_(* \(#,##0\);_(* "-"??_);_(@_)</c:formatCode>
                <c:ptCount val="2"/>
                <c:pt idx="0" formatCode="0">
                  <c:v>4287</c:v>
                </c:pt>
                <c:pt idx="1">
                  <c:v>798</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UIO'!$C$11:$C$18</c:f>
              <c:numCache>
                <c:formatCode>General</c:formatCode>
                <c:ptCount val="8"/>
                <c:pt idx="0">
                  <c:v>2015</c:v>
                </c:pt>
                <c:pt idx="1">
                  <c:v>2016</c:v>
                </c:pt>
                <c:pt idx="2">
                  <c:v>2017</c:v>
                </c:pt>
                <c:pt idx="3">
                  <c:v>2018</c:v>
                </c:pt>
                <c:pt idx="4">
                  <c:v>2019</c:v>
                </c:pt>
                <c:pt idx="5">
                  <c:v>2020</c:v>
                </c:pt>
                <c:pt idx="6">
                  <c:v>2021</c:v>
                </c:pt>
                <c:pt idx="7">
                  <c:v>2022</c:v>
                </c:pt>
              </c:numCache>
            </c:numRef>
          </c:cat>
          <c:val>
            <c:numRef>
              <c:f>'establecimientos UIO'!$D$11:$D$18</c:f>
              <c:numCache>
                <c:formatCode>_(* #,##0_);_(* \(#,##0\);_(* "-"??_);_(@_)</c:formatCode>
                <c:ptCount val="8"/>
                <c:pt idx="0">
                  <c:v>5220</c:v>
                </c:pt>
                <c:pt idx="1">
                  <c:v>5109</c:v>
                </c:pt>
                <c:pt idx="2">
                  <c:v>5231</c:v>
                </c:pt>
                <c:pt idx="3">
                  <c:v>4381</c:v>
                </c:pt>
                <c:pt idx="4">
                  <c:v>4752</c:v>
                </c:pt>
                <c:pt idx="5">
                  <c:v>4776</c:v>
                </c:pt>
                <c:pt idx="6">
                  <c:v>4858</c:v>
                </c:pt>
                <c:pt idx="7">
                  <c:v>5085</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econ'!$B$5</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econ'!$K$6:$K$11</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econ'!$L$6:$L$12</c:f>
              <c:numCache>
                <c:formatCode>0.00%</c:formatCode>
                <c:ptCount val="7"/>
                <c:pt idx="0">
                  <c:v>0.14218289085545724</c:v>
                </c:pt>
                <c:pt idx="1">
                  <c:v>1.415929203539823E-2</c:v>
                </c:pt>
                <c:pt idx="2">
                  <c:v>2.2222222222222223E-2</c:v>
                </c:pt>
                <c:pt idx="3">
                  <c:v>0.66588003933136675</c:v>
                </c:pt>
                <c:pt idx="4">
                  <c:v>0.15535889872173059</c:v>
                </c:pt>
                <c:pt idx="5">
                  <c:v>1.9665683382497542E-4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5975531394097132E-5"/>
          <c:y val="0.22953830409356726"/>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econ'!$B$23:$B$58</c15:sqref>
                  </c15:fullRef>
                </c:ext>
              </c:extLst>
              <c:f>('% y # establecimientos act econ'!$B$23:$B$24,'% y # establecimientos act econ'!$B$27,'% y # establecimientos act econ'!$B$29:$B$30,'% y # establecimientos act econ'!$B$37:$B$40,'% y # establecimientos act econ'!$B$42,'% y # establecimientos act econ'!$B$50)</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econ'!$J$23:$J$58</c15:sqref>
                  </c15:fullRef>
                </c:ext>
              </c:extLst>
              <c:f>('% y # establecimientos act econ'!$J$23:$J$24,'% y # establecimientos act econ'!$J$27,'% y # establecimientos act econ'!$J$29:$J$30,'% y # establecimientos act econ'!$J$37:$J$40,'% y # establecimientos act econ'!$J$42,'% y # establecimientos act econ'!$J$50)</c:f>
              <c:numCache>
                <c:formatCode>_(* #,##0_);_(* \(#,##0\);_(* "-"??_);_(@_)</c:formatCode>
                <c:ptCount val="11"/>
                <c:pt idx="0">
                  <c:v>0</c:v>
                </c:pt>
                <c:pt idx="1">
                  <c:v>0</c:v>
                </c:pt>
                <c:pt idx="2">
                  <c:v>0</c:v>
                </c:pt>
                <c:pt idx="3">
                  <c:v>9</c:v>
                </c:pt>
                <c:pt idx="4">
                  <c:v>10</c:v>
                </c:pt>
                <c:pt idx="5">
                  <c:v>8</c:v>
                </c:pt>
                <c:pt idx="6">
                  <c:v>520</c:v>
                </c:pt>
                <c:pt idx="7">
                  <c:v>24</c:v>
                </c:pt>
                <c:pt idx="8">
                  <c:v>144</c:v>
                </c:pt>
                <c:pt idx="9">
                  <c:v>7</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econ'!$B$5</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4CEE-47AB-A8AE-55830F54A19A}"/>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4CEE-47AB-A8AE-55830F54A19A}"/>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4CEE-47AB-A8AE-55830F54A19A}"/>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4CEE-47AB-A8AE-55830F54A19A}"/>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4CEE-47AB-A8AE-55830F54A19A}"/>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4CEE-47AB-A8AE-55830F54A19A}"/>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CEE-47AB-A8AE-55830F54A19A}"/>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EE-47AB-A8AE-55830F54A19A}"/>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EE-47AB-A8AE-55830F54A19A}"/>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EE-47AB-A8AE-55830F54A19A}"/>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econ'!$K$6:$K$11</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econ'!$J$6:$J$11</c:f>
              <c:numCache>
                <c:formatCode>_(* #,##0_);_(* \(#,##0\);_(* "-"??_);_(@_)</c:formatCode>
                <c:ptCount val="6"/>
                <c:pt idx="0">
                  <c:v>723</c:v>
                </c:pt>
                <c:pt idx="1">
                  <c:v>72</c:v>
                </c:pt>
                <c:pt idx="2">
                  <c:v>113</c:v>
                </c:pt>
                <c:pt idx="3">
                  <c:v>3386</c:v>
                </c:pt>
                <c:pt idx="4">
                  <c:v>790</c:v>
                </c:pt>
                <c:pt idx="5">
                  <c:v>1</c:v>
                </c:pt>
              </c:numCache>
            </c:numRef>
          </c:val>
          <c:extLst>
            <c:ext xmlns:c16="http://schemas.microsoft.com/office/drawing/2014/chart" uri="{C3380CC4-5D6E-409C-BE32-E72D297353CC}">
              <c16:uniqueId val="{0000000E-4CEE-47AB-A8AE-55830F54A19A}"/>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TUR'!$AA$4:$AA$10</c:f>
              <c:numCache>
                <c:formatCode>0%</c:formatCode>
                <c:ptCount val="7"/>
                <c:pt idx="0">
                  <c:v>0.16261836146562372</c:v>
                </c:pt>
                <c:pt idx="1">
                  <c:v>0.69699464800329358</c:v>
                </c:pt>
                <c:pt idx="2">
                  <c:v>0.14882667764512145</c:v>
                </c:pt>
                <c:pt idx="3">
                  <c:v>0</c:v>
                </c:pt>
                <c:pt idx="4">
                  <c:v>1.4820913956360642E-2</c:v>
                </c:pt>
                <c:pt idx="5">
                  <c:v>2.3260601070399341E-2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2.9045643153526972E-2</c:v>
                </c:pt>
                <c:pt idx="1">
                  <c:v>5.3941908713692949E-2</c:v>
                </c:pt>
                <c:pt idx="2">
                  <c:v>0.13416320885200553</c:v>
                </c:pt>
                <c:pt idx="3">
                  <c:v>0.41908713692946059</c:v>
                </c:pt>
                <c:pt idx="4">
                  <c:v>0.33609958506224069</c:v>
                </c:pt>
                <c:pt idx="5">
                  <c:v>2.7662517289073305E-2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'Llegadas x nacionalidad'!$JI$2:$JP$2</c:f>
              <c:numCache>
                <c:formatCode>General</c:formatCode>
                <c:ptCount val="4"/>
                <c:pt idx="0">
                  <c:v>2018</c:v>
                </c:pt>
                <c:pt idx="1">
                  <c:v>2019</c:v>
                </c:pt>
                <c:pt idx="2">
                  <c:v>2020</c:v>
                </c:pt>
                <c:pt idx="3">
                  <c:v>2021</c:v>
                </c:pt>
              </c:numCache>
            </c:numRef>
          </c:cat>
          <c:val>
            <c:numRef>
              <c:f>'Llegadas x nacionalidad'!$JI$45:$JP$45</c:f>
              <c:numCache>
                <c:formatCode>0.0%</c:formatCode>
                <c:ptCount val="4"/>
                <c:pt idx="0">
                  <c:v>4.4358851638291785E-2</c:v>
                </c:pt>
                <c:pt idx="1">
                  <c:v>0.20778836594650962</c:v>
                </c:pt>
                <c:pt idx="2">
                  <c:v>-0.68614385750766904</c:v>
                </c:pt>
                <c:pt idx="3">
                  <c:v>0.52273032565101407</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38</c:v>
                </c:pt>
                <c:pt idx="1">
                  <c:v>59</c:v>
                </c:pt>
                <c:pt idx="2">
                  <c:v>143</c:v>
                </c:pt>
                <c:pt idx="3">
                  <c:v>130</c:v>
                </c:pt>
                <c:pt idx="4">
                  <c:v>3006</c:v>
                </c:pt>
                <c:pt idx="5">
                  <c:v>73</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59</c:v>
                </c:pt>
                <c:pt idx="1">
                  <c:v>139</c:v>
                </c:pt>
                <c:pt idx="2">
                  <c:v>284</c:v>
                </c:pt>
                <c:pt idx="3">
                  <c:v>300</c:v>
                </c:pt>
                <c:pt idx="4">
                  <c:v>5929</c:v>
                </c:pt>
                <c:pt idx="5">
                  <c:v>157</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6</c:v>
                </c:pt>
                <c:pt idx="2">
                  <c:v>13</c:v>
                </c:pt>
                <c:pt idx="3">
                  <c:v>10</c:v>
                </c:pt>
                <c:pt idx="4">
                  <c:v>38</c:v>
                </c:pt>
                <c:pt idx="5">
                  <c:v>6</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EMPLEO_tur_DMQ!$J$5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EMPLEO_tur_DMQ!$J$6:$J$10</c:f>
              <c:numCache>
                <c:formatCode>_(* #,##0_);_(* \(#,##0\);_(* "-"??_);_(@_)</c:formatCode>
                <c:ptCount val="5"/>
                <c:pt idx="0">
                  <c:v>9450</c:v>
                </c:pt>
                <c:pt idx="1">
                  <c:v>2030</c:v>
                </c:pt>
                <c:pt idx="2">
                  <c:v>2499</c:v>
                </c:pt>
                <c:pt idx="3">
                  <c:v>197</c:v>
                </c:pt>
                <c:pt idx="4">
                  <c:v>239</c:v>
                </c:pt>
              </c:numCache>
            </c:numRef>
          </c:val>
          <c:extLst>
            <c:ext xmlns:c16="http://schemas.microsoft.com/office/drawing/2014/chart" uri="{C3380CC4-5D6E-409C-BE32-E72D297353CC}">
              <c16:uniqueId val="{00000000-3D60-4443-ADC3-72309050B5BF}"/>
            </c:ext>
          </c:extLst>
        </c:ser>
        <c:ser>
          <c:idx val="1"/>
          <c:order val="1"/>
          <c:tx>
            <c:strRef>
              <c:f>EMPLEO_tur_DMQ!$K$5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EMPLEO_tur_DMQ!$K$6:$K$10</c:f>
              <c:numCache>
                <c:formatCode>_(* #,##0_);_(* \(#,##0\);_(* "-"??_);_(@_)</c:formatCode>
                <c:ptCount val="5"/>
                <c:pt idx="0">
                  <c:v>11669</c:v>
                </c:pt>
                <c:pt idx="1">
                  <c:v>2908</c:v>
                </c:pt>
                <c:pt idx="2">
                  <c:v>1665</c:v>
                </c:pt>
                <c:pt idx="3">
                  <c:v>257</c:v>
                </c:pt>
                <c:pt idx="4">
                  <c:v>494</c:v>
                </c:pt>
              </c:numCache>
            </c:numRef>
          </c:val>
          <c:extLst>
            <c:ext xmlns:c16="http://schemas.microsoft.com/office/drawing/2014/chart" uri="{C3380CC4-5D6E-409C-BE32-E72D297353CC}">
              <c16:uniqueId val="{00000001-3D60-4443-ADC3-72309050B5BF}"/>
            </c:ext>
          </c:extLst>
        </c:ser>
        <c:ser>
          <c:idx val="2"/>
          <c:order val="2"/>
          <c:tx>
            <c:strRef>
              <c:f>EMPLEO_tur_DMQ!$L$5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EMPLEO_tur_DMQ!$L$6:$L$10</c:f>
              <c:numCache>
                <c:formatCode>_(* #,##0_);_(* \(#,##0\);_(* "-"??_);_(@_)</c:formatCode>
                <c:ptCount val="5"/>
                <c:pt idx="0">
                  <c:v>21119</c:v>
                </c:pt>
                <c:pt idx="1">
                  <c:v>4938</c:v>
                </c:pt>
                <c:pt idx="2">
                  <c:v>4164</c:v>
                </c:pt>
                <c:pt idx="3">
                  <c:v>454</c:v>
                </c:pt>
                <c:pt idx="4">
                  <c:v>733</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46448040148826E-2"/>
          <c:y val="0.17938311688311689"/>
          <c:w val="0.83470710391970238"/>
          <c:h val="0.8035714285714286"/>
        </c:manualLayout>
      </c:layout>
      <c:pie3DChart>
        <c:varyColors val="1"/>
        <c:ser>
          <c:idx val="0"/>
          <c:order val="0"/>
          <c:tx>
            <c:strRef>
              <c:f>EMPLEO_tur_DMQ!$M$5</c:f>
              <c:strCache>
                <c:ptCount val="1"/>
                <c:pt idx="0">
                  <c:v>% de participación</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20A-4E07-9DAF-BD618B08791F}"/>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20A-4E07-9DAF-BD618B08791F}"/>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20A-4E07-9DAF-BD618B08791F}"/>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20A-4E07-9DAF-BD618B08791F}"/>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220A-4E07-9DAF-BD618B08791F}"/>
              </c:ext>
            </c:extLst>
          </c:dPt>
          <c:dLbls>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EMPLEO_tur_DMQ!$M$6:$M$10</c:f>
              <c:numCache>
                <c:formatCode>0%</c:formatCode>
                <c:ptCount val="5"/>
                <c:pt idx="0">
                  <c:v>0.67240830361691284</c:v>
                </c:pt>
                <c:pt idx="1">
                  <c:v>0.16097799511002445</c:v>
                </c:pt>
                <c:pt idx="2">
                  <c:v>0.13574572127139364</c:v>
                </c:pt>
                <c:pt idx="3">
                  <c:v>1.4800325998370008E-2</c:v>
                </c:pt>
                <c:pt idx="4">
                  <c:v>2.3895680521597393E-2</c:v>
                </c:pt>
              </c:numCache>
            </c:numRef>
          </c:val>
          <c:extLst>
            <c:ext xmlns:c16="http://schemas.microsoft.com/office/drawing/2014/chart" uri="{C3380CC4-5D6E-409C-BE32-E72D297353CC}">
              <c16:uniqueId val="{00000000-829F-4C9F-A1BF-5B8A554A6C33}"/>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sz="800"/>
      </a:pPr>
      <a:endParaRPr lang="es-EC"/>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DEL DMQ </a:t>
            </a:r>
            <a:endParaRPr lang="es-EC">
              <a:effectLst/>
            </a:endParaRPr>
          </a:p>
          <a:p>
            <a:pPr>
              <a:defRPr sz="1600" b="1" i="0" u="none" strike="noStrike" kern="1200" cap="all" baseline="0">
                <a:solidFill>
                  <a:schemeClr val="tx1">
                    <a:lumMod val="65000"/>
                    <a:lumOff val="35000"/>
                  </a:schemeClr>
                </a:solidFill>
                <a:latin typeface="+mn-lt"/>
                <a:ea typeface="+mn-ea"/>
                <a:cs typeface="+mn-cs"/>
              </a:defRPr>
            </a:pPr>
            <a:r>
              <a:rPr lang="es-EC" sz="1400" b="1" i="0" cap="all" baseline="0">
                <a:effectLst/>
              </a:rPr>
              <a:t> (% estimado)</a:t>
            </a:r>
            <a:endParaRPr lang="es-EC" sz="1200">
              <a:effectLst/>
            </a:endParaRPr>
          </a:p>
        </c:rich>
      </c:tx>
      <c:overlay val="0"/>
      <c:spPr>
        <a:noFill/>
        <a:ln>
          <a:noFill/>
        </a:ln>
        <a:effectLst/>
      </c:sp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3"/>
              <c:layout>
                <c:manualLayout>
                  <c:x val="0.19906684152502965"/>
                  <c:y val="0.18592122503055977"/>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'Ingresos-divisas'!$B$7:$O$7</c:f>
              <c:numCache>
                <c:formatCode>General</c:formatCode>
                <c:ptCount val="6"/>
                <c:pt idx="0">
                  <c:v>2016</c:v>
                </c:pt>
                <c:pt idx="1">
                  <c:v>2017</c:v>
                </c:pt>
                <c:pt idx="2">
                  <c:v>2018</c:v>
                </c:pt>
                <c:pt idx="3">
                  <c:v>2019</c:v>
                </c:pt>
                <c:pt idx="4">
                  <c:v>2020</c:v>
                </c:pt>
                <c:pt idx="5">
                  <c:v>2021</c:v>
                </c:pt>
              </c:numCache>
            </c:numRef>
          </c:cat>
          <c:val>
            <c:numRef>
              <c:f>'Ingresos-divisas'!$J$18:$P$18</c:f>
              <c:numCache>
                <c:formatCode>_(* #,##0_);_(* \(#,##0\);_(* "-"??_);_(@_)</c:formatCode>
                <c:ptCount val="7"/>
                <c:pt idx="0">
                  <c:v>476.88278732000003</c:v>
                </c:pt>
                <c:pt idx="1">
                  <c:v>496.11003242000004</c:v>
                </c:pt>
                <c:pt idx="2">
                  <c:v>526.1692714400001</c:v>
                </c:pt>
                <c:pt idx="3">
                  <c:v>520.01320980000003</c:v>
                </c:pt>
                <c:pt idx="4">
                  <c:v>108.41772728999997</c:v>
                </c:pt>
                <c:pt idx="5">
                  <c:v>159.99069251999998</c:v>
                </c:pt>
                <c:pt idx="6">
                  <c:v>272.38148366999997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'Ingresos-divisas'!$J$19:$P$19</c:f>
              <c:numCache>
                <c:formatCode>0%</c:formatCode>
                <c:ptCount val="7"/>
                <c:pt idx="0">
                  <c:v>0.18345141682725097</c:v>
                </c:pt>
                <c:pt idx="1">
                  <c:v>4.0318597381242993E-2</c:v>
                </c:pt>
                <c:pt idx="2">
                  <c:v>6.0589863247418219E-2</c:v>
                </c:pt>
                <c:pt idx="3">
                  <c:v>-1.1699774149015574E-2</c:v>
                </c:pt>
                <c:pt idx="4">
                  <c:v>-0.79150966697231007</c:v>
                </c:pt>
                <c:pt idx="5">
                  <c:v>0.47568756991235039</c:v>
                </c:pt>
                <c:pt idx="6">
                  <c:v>0.70248330937095194</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nacionalidad'!$C$8</c:f>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nacionalidad'!$D$8:$GA$8</c15:sqref>
                  </c15:fullRef>
                </c:ext>
              </c:extLst>
              <c:f>'Llegadas x nacionalidad'!$D$8:$FT$8</c:f>
            </c:numRef>
          </c:val>
          <c:smooth val="0"/>
          <c:extLst>
            <c:ext xmlns:c16="http://schemas.microsoft.com/office/drawing/2014/chart" uri="{C3380CC4-5D6E-409C-BE32-E72D297353CC}">
              <c16:uniqueId val="{00000001-63A1-48AA-A1EB-491BDBFB1C22}"/>
            </c:ext>
          </c:extLst>
        </c:ser>
        <c:ser>
          <c:idx val="6"/>
          <c:order val="6"/>
          <c:tx>
            <c:strRef>
              <c:f>'Llegadas x nacionalidad'!$C$13</c:f>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nacionalidad'!$D$13:$GA$13</c15:sqref>
                  </c15:fullRef>
                </c:ext>
              </c:extLst>
              <c:f>'Llegadas x nacionalidad'!$D$13:$FT$13</c:f>
            </c:numRef>
          </c:val>
          <c:smooth val="0"/>
          <c:extLst>
            <c:ext xmlns:c16="http://schemas.microsoft.com/office/drawing/2014/chart" uri="{C3380CC4-5D6E-409C-BE32-E72D297353CC}">
              <c16:uniqueId val="{00000006-63A1-48AA-A1EB-491BDBFB1C22}"/>
            </c:ext>
          </c:extLst>
        </c:ser>
        <c:ser>
          <c:idx val="8"/>
          <c:order val="8"/>
          <c:tx>
            <c:strRef>
              <c:f>'Llegadas x nacionalidad'!$C$15</c:f>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nacionalidad'!$D$15:$GA$15</c15:sqref>
                  </c15:fullRef>
                </c:ext>
              </c:extLst>
              <c:f>'Llegadas x nacionalidad'!$D$15:$FT$15</c:f>
            </c:numRef>
          </c:val>
          <c:smooth val="0"/>
          <c:extLst>
            <c:ext xmlns:c16="http://schemas.microsoft.com/office/drawing/2014/chart" uri="{C3380CC4-5D6E-409C-BE32-E72D297353CC}">
              <c16:uniqueId val="{00000008-63A1-48AA-A1EB-491BDBFB1C22}"/>
            </c:ext>
          </c:extLst>
        </c:ser>
        <c:ser>
          <c:idx val="11"/>
          <c:order val="11"/>
          <c:tx>
            <c:strRef>
              <c:f>'Llegadas x nacionalidad'!$C$18</c:f>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nacionalidad'!$D$18:$GA$18</c15:sqref>
                  </c15:fullRef>
                </c:ext>
              </c:extLst>
              <c:f>'Llegadas x nacionalidad'!$D$18:$FT$18</c:f>
            </c:numRef>
          </c:val>
          <c:smooth val="0"/>
          <c:extLst>
            <c:ext xmlns:c16="http://schemas.microsoft.com/office/drawing/2014/chart" uri="{C3380CC4-5D6E-409C-BE32-E72D297353CC}">
              <c16:uniqueId val="{0000000B-63A1-48AA-A1EB-491BDBFB1C22}"/>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nacionalidad'!$D$21:$GA$21</c15:sqref>
                  </c15:fullRef>
                </c:ext>
              </c:extLst>
              <c:f>'Llegadas x nacionalidad'!$D$21:$FT$21</c:f>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nacionalidad'!$C$7</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multiLvlStrRef>
                    <c:extLst>
                      <c:ext uri="{02D57815-91ED-43cb-92C2-25804820EDAC}">
                        <c15:fullRef>
                          <c15:sqref>'Llegadas x nacionalidad'!$ER$5:$GA$5</c15:sqref>
                        </c15:fullRef>
                        <c15:formulaRef>
                          <c15:sqref>'Llegadas x nacionalidad'!$ER$5:$GA$5</c15:sqref>
                        </c15:formulaRef>
                      </c:ext>
                    </c:extLst>
                  </c:multiLvlStrRef>
                </c:cat>
                <c:val>
                  <c:numRef>
                    <c:extLst>
                      <c:ext uri="{02D57815-91ED-43cb-92C2-25804820EDAC}">
                        <c15:fullRef>
                          <c15:sqref>'Llegadas x nacionalidad'!$D$7:$GA$7</c15:sqref>
                        </c15:fullRef>
                        <c15:formulaRef>
                          <c15:sqref>'Llegadas x nacionalidad'!$D$7:$FT$7</c15:sqref>
                        </c15:formulaRef>
                      </c:ext>
                    </c:extLst>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nacionalidad'!$C$9</c15:sqref>
                        </c15:formulaRef>
                      </c:ext>
                    </c:extLst>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nacionalidad'!$D$9:$GA$9</c15:sqref>
                        </c15:fullRef>
                        <c15:formulaRef>
                          <c15:sqref>'Llegadas x nacionalidad'!$D$9:$FT$9</c15:sqref>
                        </c15:formulaRef>
                      </c:ext>
                    </c:extLst>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nacionalidad'!$C$10</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nacionalidad'!$D$10:$GA$10</c15:sqref>
                        </c15:fullRef>
                        <c15:formulaRef>
                          <c15:sqref>'Llegadas x nacionalidad'!$D$10:$FT$10</c15:sqref>
                        </c15:formulaRef>
                      </c:ext>
                    </c:extLst>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nacionalidad'!$C$11</c15:sqref>
                        </c15:formulaRef>
                      </c:ext>
                    </c:extLst>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nacionalidad'!$D$11:$GA$11</c15:sqref>
                        </c15:fullRef>
                        <c15:formulaRef>
                          <c15:sqref>'Llegadas x nacionalidad'!$D$11:$FT$11</c15:sqref>
                        </c15:formulaRef>
                      </c:ext>
                    </c:extLst>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nacionalidad'!$C$12</c15:sqref>
                        </c15:formulaRef>
                      </c:ext>
                    </c:extLst>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nacionalidad'!$D$12:$GA$12</c15:sqref>
                        </c15:fullRef>
                        <c15:formulaRef>
                          <c15:sqref>'Llegadas x nacionalidad'!$D$12:$FT$12</c15:sqref>
                        </c15:formulaRef>
                      </c:ext>
                    </c:extLst>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nacionalidad'!$C$14</c15:sqref>
                        </c15:formulaRef>
                      </c:ext>
                    </c:extLst>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nacionalidad'!$D$14:$GA$14</c15:sqref>
                        </c15:fullRef>
                        <c15:formulaRef>
                          <c15:sqref>'Llegadas x nacionalidad'!$D$14:$FT$14</c15:sqref>
                        </c15:formulaRef>
                      </c:ext>
                    </c:extLst>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nacionalidad'!$C$16</c15:sqref>
                        </c15:formulaRef>
                      </c:ext>
                    </c:extLst>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nacionalidad'!$D$16:$GA$16</c15:sqref>
                        </c15:fullRef>
                        <c15:formulaRef>
                          <c15:sqref>'Llegadas x nacionalidad'!$D$16:$FT$16</c15:sqref>
                        </c15:formulaRef>
                      </c:ext>
                    </c:extLst>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nacionalidad'!$D$17:$GA$17</c15:sqref>
                        </c15:fullRef>
                        <c15:formulaRef>
                          <c15:sqref>'Llegadas x nacionalidad'!$D$17:$FT$17</c15:sqref>
                        </c15:formulaRef>
                      </c:ext>
                    </c:extLst>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nacionalidad'!$C$19</c15:sqref>
                        </c15:formulaRef>
                      </c:ext>
                    </c:extLst>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nacionalidad'!$D$19:$GA$19</c15:sqref>
                        </c15:fullRef>
                        <c15:formulaRef>
                          <c15:sqref>'Llegadas x nacionalidad'!$D$19:$FT$19</c15:sqref>
                        </c15:formulaRef>
                      </c:ext>
                    </c:extLst>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nacionalidad'!$D$20:$GA$20</c15:sqref>
                        </c15:fullRef>
                        <c15:formulaRef>
                          <c15:sqref>'Llegadas x nacionalidad'!$D$20:$FT$20</c15:sqref>
                        </c15:formulaRef>
                      </c:ext>
                    </c:extLst>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nacionalidad'!$D$22:$GA$22</c15:sqref>
                        </c15:fullRef>
                        <c15:formulaRef>
                          <c15:sqref>'Llegadas x nacionalidad'!$D$22:$FT$22</c15:sqref>
                        </c15:formulaRef>
                      </c:ext>
                    </c:extLst>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nacionalidad'!$D$23:$GA$23</c15:sqref>
                        </c15:fullRef>
                        <c15:formulaRef>
                          <c15:sqref>'Llegadas x nacionalidad'!$D$23:$FT$23</c15:sqref>
                        </c15:formulaRef>
                      </c:ext>
                    </c:extLst>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nacionalidad'!$D$24:$GA$24</c15:sqref>
                        </c15:fullRef>
                        <c15:formulaRef>
                          <c15:sqref>'Llegadas x nacionalidad'!$D$24:$FT$24</c15:sqref>
                        </c15:formulaRef>
                      </c:ext>
                    </c:extLst>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nacionalidad'!$D$25:$GA$25</c15:sqref>
                        </c15:fullRef>
                        <c15:formulaRef>
                          <c15:sqref>'Llegadas x nacionalidad'!$D$25:$FT$25</c15:sqref>
                        </c15:formulaRef>
                      </c:ext>
                    </c:extLst>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nacionalidad'!$D$26:$GA$26</c15:sqref>
                        </c15:fullRef>
                        <c15:formulaRef>
                          <c15:sqref>'Llegadas x nacionalidad'!$D$26:$FT$26</c15:sqref>
                        </c15:formulaRef>
                      </c:ext>
                    </c:extLst>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nacionalidad'!$D$27:$GA$27</c15:sqref>
                        </c15:fullRef>
                        <c15:formulaRef>
                          <c15:sqref>'Llegadas x nacionalidad'!$D$27:$FT$27</c15:sqref>
                        </c15:formulaRef>
                      </c:ext>
                    </c:extLst>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nacionalidad'!$D$28:$GA$28</c15:sqref>
                        </c15:fullRef>
                        <c15:formulaRef>
                          <c15:sqref>'Llegadas x nacionalidad'!$D$28:$FT$28</c15:sqref>
                        </c15:formulaRef>
                      </c:ext>
                    </c:extLst>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nacionalidad'!$D$29:$GA$29</c15:sqref>
                        </c15:fullRef>
                        <c15:formulaRef>
                          <c15:sqref>'Llegadas x nacionalidad'!$D$29:$FT$29</c15:sqref>
                        </c15:formulaRef>
                      </c:ext>
                    </c:extLst>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nacionalidad'!$D$30:$GA$30</c15:sqref>
                        </c15:fullRef>
                        <c15:formulaRef>
                          <c15:sqref>'Llegadas x nacionalidad'!$D$30:$FT$30</c15:sqref>
                        </c15:formulaRef>
                      </c:ext>
                    </c:extLst>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nacionalidad'!$D$31:$GA$31</c15:sqref>
                        </c15:fullRef>
                        <c15:formulaRef>
                          <c15:sqref>'Llegadas x nacionalidad'!$D$31:$FT$31</c15:sqref>
                        </c15:formulaRef>
                      </c:ext>
                    </c:extLst>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nacionalidad'!$D$32:$GA$32</c15:sqref>
                        </c15:fullRef>
                        <c15:formulaRef>
                          <c15:sqref>'Llegadas x nacionalidad'!$D$32:$FT$32</c15:sqref>
                        </c15:formulaRef>
                      </c:ext>
                    </c:extLst>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nacionalidad'!$D$33:$GA$33</c15:sqref>
                        </c15:fullRef>
                        <c15:formulaRef>
                          <c15:sqref>'Llegadas x nacionalidad'!$D$33:$FT$33</c15:sqref>
                        </c15:formulaRef>
                      </c:ext>
                    </c:extLst>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nacionalidad'!$D$34:$GA$34</c15:sqref>
                        </c15:fullRef>
                        <c15:formulaRef>
                          <c15:sqref>'Llegadas x nacionalidad'!$D$34:$FT$34</c15:sqref>
                        </c15:formulaRef>
                      </c:ext>
                    </c:extLst>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nacionalidad'!$D$35:$GA$35</c15:sqref>
                        </c15:fullRef>
                        <c15:formulaRef>
                          <c15:sqref>'Llegadas x nacionalidad'!$D$35:$FT$35</c15:sqref>
                        </c15:formulaRef>
                      </c:ext>
                    </c:extLst>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nacionalidad'!$D$36:$GA$36</c15:sqref>
                        </c15:fullRef>
                        <c15:formulaRef>
                          <c15:sqref>'Llegadas x nacionalidad'!$D$36:$FT$36</c15:sqref>
                        </c15:formulaRef>
                      </c:ext>
                    </c:extLst>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nacionalidad'!$D$37:$GA$37</c15:sqref>
                        </c15:fullRef>
                        <c15:formulaRef>
                          <c15:sqref>'Llegadas x nacionalidad'!$D$37:$FT$37</c15:sqref>
                        </c15:formulaRef>
                      </c:ext>
                    </c:extLst>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nacionalidad'!$D$38:$GA$38</c15:sqref>
                        </c15:fullRef>
                        <c15:formulaRef>
                          <c15:sqref>'Llegadas x nacionalidad'!$D$38:$FT$38</c15:sqref>
                        </c15:formulaRef>
                      </c:ext>
                    </c:extLst>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cat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Algn val="ctr"/>
        <c:lblOffset val="100"/>
        <c:noMultiLvlLbl val="1"/>
      </c:cat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nacionalidad'!$C$7</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nacionalidad'!$JB$7:$JP$7</c:f>
              <c:numCache>
                <c:formatCode>#,##0</c:formatCode>
                <c:ptCount val="4"/>
                <c:pt idx="0">
                  <c:v>148742</c:v>
                </c:pt>
                <c:pt idx="1">
                  <c:v>180515</c:v>
                </c:pt>
                <c:pt idx="2">
                  <c:v>57715</c:v>
                </c:pt>
                <c:pt idx="3">
                  <c:v>111131</c:v>
                </c:pt>
              </c:numCache>
            </c:numRef>
          </c:val>
          <c:smooth val="0"/>
          <c:extLst>
            <c:ext xmlns:c16="http://schemas.microsoft.com/office/drawing/2014/chart" uri="{C3380CC4-5D6E-409C-BE32-E72D297353CC}">
              <c16:uniqueId val="{00000000-9907-4590-AF81-7287654D764E}"/>
            </c:ext>
          </c:extLst>
        </c:ser>
        <c:ser>
          <c:idx val="2"/>
          <c:order val="2"/>
          <c:tx>
            <c:strRef>
              <c:f>'Llegadas x nacionalidad'!$C$9</c:f>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nacionalidad'!$JB$9:$JP$9</c:f>
              <c:numCache>
                <c:formatCode>#,##0</c:formatCode>
                <c:ptCount val="4"/>
                <c:pt idx="0">
                  <c:v>55306</c:v>
                </c:pt>
                <c:pt idx="1">
                  <c:v>57667</c:v>
                </c:pt>
                <c:pt idx="2">
                  <c:v>18759</c:v>
                </c:pt>
                <c:pt idx="3">
                  <c:v>30788</c:v>
                </c:pt>
              </c:numCache>
            </c:numRef>
          </c:val>
          <c:smooth val="0"/>
          <c:extLst>
            <c:ext xmlns:c16="http://schemas.microsoft.com/office/drawing/2014/chart" uri="{C3380CC4-5D6E-409C-BE32-E72D297353CC}">
              <c16:uniqueId val="{00000002-9907-4590-AF81-7287654D764E}"/>
            </c:ext>
          </c:extLst>
        </c:ser>
        <c:ser>
          <c:idx val="3"/>
          <c:order val="3"/>
          <c:tx>
            <c:strRef>
              <c:f>'Llegadas x nacionalidad'!$C$10</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nacionalidad'!$JB$10:$JP$10</c:f>
              <c:numCache>
                <c:formatCode>#,##0</c:formatCode>
                <c:ptCount val="4"/>
                <c:pt idx="0">
                  <c:v>20593</c:v>
                </c:pt>
                <c:pt idx="1">
                  <c:v>21035</c:v>
                </c:pt>
                <c:pt idx="2">
                  <c:v>6894</c:v>
                </c:pt>
                <c:pt idx="3">
                  <c:v>8619</c:v>
                </c:pt>
              </c:numCache>
            </c:numRef>
          </c:val>
          <c:smooth val="0"/>
          <c:extLst>
            <c:ext xmlns:c16="http://schemas.microsoft.com/office/drawing/2014/chart" uri="{C3380CC4-5D6E-409C-BE32-E72D297353CC}">
              <c16:uniqueId val="{00000003-9907-4590-AF81-7287654D764E}"/>
            </c:ext>
          </c:extLst>
        </c:ser>
        <c:ser>
          <c:idx val="4"/>
          <c:order val="4"/>
          <c:tx>
            <c:strRef>
              <c:f>'Llegadas x nacionalidad'!$C$11</c:f>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nacionalidad'!$JB$11:$JP$11</c:f>
              <c:numCache>
                <c:formatCode>#,##0</c:formatCode>
                <c:ptCount val="4"/>
                <c:pt idx="0">
                  <c:v>17438</c:v>
                </c:pt>
                <c:pt idx="1">
                  <c:v>18090</c:v>
                </c:pt>
                <c:pt idx="2">
                  <c:v>5591</c:v>
                </c:pt>
                <c:pt idx="3">
                  <c:v>6921</c:v>
                </c:pt>
              </c:numCache>
            </c:numRef>
          </c:val>
          <c:smooth val="0"/>
          <c:extLst>
            <c:ext xmlns:c16="http://schemas.microsoft.com/office/drawing/2014/chart" uri="{C3380CC4-5D6E-409C-BE32-E72D297353CC}">
              <c16:uniqueId val="{00000004-9907-4590-AF81-7287654D764E}"/>
            </c:ext>
          </c:extLst>
        </c:ser>
        <c:ser>
          <c:idx val="5"/>
          <c:order val="5"/>
          <c:tx>
            <c:strRef>
              <c:f>'Llegadas x nacionalidad'!$C$12</c:f>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nacionalidad'!$JB$12:$JP$12</c:f>
              <c:numCache>
                <c:formatCode>#,##0</c:formatCode>
                <c:ptCount val="4"/>
                <c:pt idx="0">
                  <c:v>15163</c:v>
                </c:pt>
                <c:pt idx="1">
                  <c:v>20482</c:v>
                </c:pt>
                <c:pt idx="2">
                  <c:v>5322</c:v>
                </c:pt>
                <c:pt idx="3">
                  <c:v>7164</c:v>
                </c:pt>
              </c:numCache>
            </c:numRef>
          </c:val>
          <c:smooth val="0"/>
          <c:extLst>
            <c:ext xmlns:c16="http://schemas.microsoft.com/office/drawing/2014/chart" uri="{C3380CC4-5D6E-409C-BE32-E72D297353CC}">
              <c16:uniqueId val="{00000005-9907-4590-AF81-7287654D764E}"/>
            </c:ext>
          </c:extLst>
        </c:ser>
        <c:ser>
          <c:idx val="7"/>
          <c:order val="7"/>
          <c:tx>
            <c:strRef>
              <c:f>'Llegadas x nacionalidad'!$C$14</c:f>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nacionalidad'!$JB$14:$JP$14</c:f>
              <c:numCache>
                <c:formatCode>#,##0</c:formatCode>
                <c:ptCount val="4"/>
                <c:pt idx="0">
                  <c:v>20411</c:v>
                </c:pt>
                <c:pt idx="1">
                  <c:v>22748</c:v>
                </c:pt>
                <c:pt idx="2">
                  <c:v>5768</c:v>
                </c:pt>
                <c:pt idx="3">
                  <c:v>6835</c:v>
                </c:pt>
              </c:numCache>
            </c:numRef>
          </c:val>
          <c:smooth val="0"/>
          <c:extLst>
            <c:ext xmlns:c16="http://schemas.microsoft.com/office/drawing/2014/chart" uri="{C3380CC4-5D6E-409C-BE32-E72D297353CC}">
              <c16:uniqueId val="{00000007-9907-4590-AF81-7287654D764E}"/>
            </c:ext>
          </c:extLst>
        </c:ser>
        <c:ser>
          <c:idx val="9"/>
          <c:order val="9"/>
          <c:tx>
            <c:strRef>
              <c:f>'Llegadas x nacionalidad'!$C$16</c:f>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nacionalidad'!$JB$16:$JP$16</c:f>
              <c:numCache>
                <c:formatCode>#,##0</c:formatCode>
                <c:ptCount val="4"/>
                <c:pt idx="0">
                  <c:v>13056</c:v>
                </c:pt>
                <c:pt idx="1">
                  <c:v>18345</c:v>
                </c:pt>
                <c:pt idx="2">
                  <c:v>4856</c:v>
                </c:pt>
                <c:pt idx="3">
                  <c:v>3788</c:v>
                </c:pt>
              </c:numCache>
            </c:numRef>
          </c:val>
          <c:smooth val="0"/>
          <c:extLst>
            <c:ext xmlns:c16="http://schemas.microsoft.com/office/drawing/2014/chart" uri="{C3380CC4-5D6E-409C-BE32-E72D297353CC}">
              <c16:uniqueId val="{00000009-9907-4590-AF81-7287654D764E}"/>
            </c:ext>
          </c:extLst>
        </c:ser>
        <c:ser>
          <c:idx val="12"/>
          <c:order val="12"/>
          <c:tx>
            <c:strRef>
              <c:f>'Llegadas x nacionalidad'!$C$19</c:f>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nacionalidad'!$JB$19:$JP$19</c:f>
              <c:numCache>
                <c:formatCode>#,##0</c:formatCode>
                <c:ptCount val="4"/>
                <c:pt idx="0">
                  <c:v>19901</c:v>
                </c:pt>
                <c:pt idx="1">
                  <c:v>23863</c:v>
                </c:pt>
                <c:pt idx="2">
                  <c:v>9797</c:v>
                </c:pt>
                <c:pt idx="3">
                  <c:v>5444</c:v>
                </c:pt>
              </c:numCache>
            </c:numRef>
          </c:val>
          <c:smooth val="0"/>
          <c:extLst>
            <c:ext xmlns:c16="http://schemas.microsoft.com/office/drawing/2014/chart" uri="{C3380CC4-5D6E-409C-BE32-E72D297353CC}">
              <c16:uniqueId val="{0000000C-9907-4590-AF81-7287654D764E}"/>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f>'Llegadas x nacionalidad'!$JB$2:$JP$2</c:f>
              <c:numCache>
                <c:formatCode>General</c:formatCode>
                <c:ptCount val="4"/>
                <c:pt idx="0">
                  <c:v>2018</c:v>
                </c:pt>
                <c:pt idx="1">
                  <c:v>2019</c:v>
                </c:pt>
                <c:pt idx="2">
                  <c:v>2020</c:v>
                </c:pt>
                <c:pt idx="3">
                  <c:v>2021</c:v>
                </c:pt>
              </c:numCache>
            </c:numRef>
          </c:cat>
          <c:val>
            <c:numRef>
              <c:f>'Llegadas x nacionalidad'!$JB$21:$JP$21</c:f>
              <c:numCache>
                <c:formatCode>#,##0</c:formatCode>
                <c:ptCount val="4"/>
                <c:pt idx="0">
                  <c:v>11697</c:v>
                </c:pt>
                <c:pt idx="1">
                  <c:v>16043</c:v>
                </c:pt>
                <c:pt idx="2">
                  <c:v>4857</c:v>
                </c:pt>
                <c:pt idx="3">
                  <c:v>3334</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nacionalidad'!$C$8</c15:sqref>
                        </c15:formulaRef>
                      </c:ext>
                    </c:extLst>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c:ext uri="{02D57815-91ED-43cb-92C2-25804820EDAC}">
                        <c15:formulaRef>
                          <c15:sqref>'Llegadas x nacionalidad'!$JB$8:$JP$8</c15:sqref>
                        </c15:formulaRef>
                      </c:ext>
                    </c:extLst>
                    <c:numCache>
                      <c:formatCode>#,##0</c:formatCode>
                      <c:ptCount val="4"/>
                      <c:pt idx="0">
                        <c:v>32785</c:v>
                      </c:pt>
                      <c:pt idx="1">
                        <c:v>60401</c:v>
                      </c:pt>
                      <c:pt idx="2">
                        <c:v>20721</c:v>
                      </c:pt>
                      <c:pt idx="3">
                        <c:v>38467</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nacionalidad'!$C$13</c15:sqref>
                        </c15:formulaRef>
                      </c:ext>
                    </c:extLst>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nacionalidad'!$JB$13:$JP$13</c15:sqref>
                        </c15:formulaRef>
                      </c:ext>
                    </c:extLst>
                    <c:numCache>
                      <c:formatCode>#,##0</c:formatCode>
                      <c:ptCount val="4"/>
                      <c:pt idx="0">
                        <c:v>14994</c:v>
                      </c:pt>
                      <c:pt idx="1">
                        <c:v>13820</c:v>
                      </c:pt>
                      <c:pt idx="2">
                        <c:v>4672</c:v>
                      </c:pt>
                      <c:pt idx="3">
                        <c:v>5979</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nacionalidad'!$C$15</c15:sqref>
                        </c15:formulaRef>
                      </c:ext>
                    </c:extLst>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nacionalidad'!$JB$15:$JP$15</c15:sqref>
                        </c15:formulaRef>
                      </c:ext>
                    </c:extLst>
                    <c:numCache>
                      <c:formatCode>#,##0</c:formatCode>
                      <c:ptCount val="4"/>
                      <c:pt idx="0">
                        <c:v>9614</c:v>
                      </c:pt>
                      <c:pt idx="1">
                        <c:v>10142</c:v>
                      </c:pt>
                      <c:pt idx="2">
                        <c:v>2525</c:v>
                      </c:pt>
                      <c:pt idx="3">
                        <c:v>4783</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nacionalidad'!$JB$17:$JP$17</c15:sqref>
                        </c15:formulaRef>
                      </c:ext>
                    </c:extLst>
                    <c:numCache>
                      <c:formatCode>#,##0</c:formatCode>
                      <c:ptCount val="4"/>
                      <c:pt idx="0">
                        <c:v>8075</c:v>
                      </c:pt>
                      <c:pt idx="1">
                        <c:v>10927</c:v>
                      </c:pt>
                      <c:pt idx="2">
                        <c:v>3048</c:v>
                      </c:pt>
                      <c:pt idx="3">
                        <c:v>4238</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nacionalidad'!$C$18</c15:sqref>
                        </c15:formulaRef>
                      </c:ext>
                    </c:extLst>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nacionalidad'!$JB$18:$JP$18</c15:sqref>
                        </c15:formulaRef>
                      </c:ext>
                    </c:extLst>
                    <c:numCache>
                      <c:formatCode>#,##0</c:formatCode>
                      <c:ptCount val="4"/>
                      <c:pt idx="0">
                        <c:v>12239</c:v>
                      </c:pt>
                      <c:pt idx="1">
                        <c:v>12705</c:v>
                      </c:pt>
                      <c:pt idx="2">
                        <c:v>2559</c:v>
                      </c:pt>
                      <c:pt idx="3">
                        <c:v>3733</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nacionalidad'!$JB$20:$JP$20</c15:sqref>
                        </c15:formulaRef>
                      </c:ext>
                    </c:extLst>
                    <c:numCache>
                      <c:formatCode>#,##0</c:formatCode>
                      <c:ptCount val="4"/>
                      <c:pt idx="0">
                        <c:v>15199</c:v>
                      </c:pt>
                      <c:pt idx="1">
                        <c:v>15430</c:v>
                      </c:pt>
                      <c:pt idx="2">
                        <c:v>4068</c:v>
                      </c:pt>
                      <c:pt idx="3">
                        <c:v>3770</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nacionalidad'!$JB$22:$JP$22</c15:sqref>
                        </c15:formulaRef>
                      </c:ext>
                    </c:extLst>
                    <c:numCache>
                      <c:formatCode>#,##0</c:formatCode>
                      <c:ptCount val="4"/>
                      <c:pt idx="0">
                        <c:v>12734</c:v>
                      </c:pt>
                      <c:pt idx="1">
                        <c:v>13527</c:v>
                      </c:pt>
                      <c:pt idx="2">
                        <c:v>4178</c:v>
                      </c:pt>
                      <c:pt idx="3">
                        <c:v>3531</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nacionalidad'!$JB$23:$JP$23</c15:sqref>
                        </c15:formulaRef>
                      </c:ext>
                    </c:extLst>
                    <c:numCache>
                      <c:formatCode>#,##0</c:formatCode>
                      <c:ptCount val="4"/>
                      <c:pt idx="0">
                        <c:v>6835</c:v>
                      </c:pt>
                      <c:pt idx="1">
                        <c:v>7033</c:v>
                      </c:pt>
                      <c:pt idx="2">
                        <c:v>1807</c:v>
                      </c:pt>
                      <c:pt idx="3">
                        <c:v>3195</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nacionalidad'!$JB$24:$JP$24</c15:sqref>
                        </c15:formulaRef>
                      </c:ext>
                    </c:extLst>
                    <c:numCache>
                      <c:formatCode>#,##0</c:formatCode>
                      <c:ptCount val="4"/>
                      <c:pt idx="0">
                        <c:v>3574</c:v>
                      </c:pt>
                      <c:pt idx="1">
                        <c:v>7574</c:v>
                      </c:pt>
                      <c:pt idx="2">
                        <c:v>3002</c:v>
                      </c:pt>
                      <c:pt idx="3">
                        <c:v>2502</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nacionalidad'!$JB$25:$JP$25</c15:sqref>
                        </c15:formulaRef>
                      </c:ext>
                    </c:extLst>
                    <c:numCache>
                      <c:formatCode>#,##0</c:formatCode>
                      <c:ptCount val="4"/>
                      <c:pt idx="0">
                        <c:v>17351</c:v>
                      </c:pt>
                      <c:pt idx="1">
                        <c:v>18863</c:v>
                      </c:pt>
                      <c:pt idx="2">
                        <c:v>4644</c:v>
                      </c:pt>
                      <c:pt idx="3">
                        <c:v>2319</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nacionalidad'!$JB$26:$JP$26</c15:sqref>
                        </c15:formulaRef>
                      </c:ext>
                    </c:extLst>
                    <c:numCache>
                      <c:formatCode>#,##0</c:formatCode>
                      <c:ptCount val="4"/>
                      <c:pt idx="0">
                        <c:v>3935</c:v>
                      </c:pt>
                      <c:pt idx="1">
                        <c:v>4951</c:v>
                      </c:pt>
                      <c:pt idx="2">
                        <c:v>1095</c:v>
                      </c:pt>
                      <c:pt idx="3">
                        <c:v>2124</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nacionalidad'!$JB$27:$JP$27</c15:sqref>
                        </c15:formulaRef>
                      </c:ext>
                    </c:extLst>
                    <c:numCache>
                      <c:formatCode>#,##0</c:formatCode>
                      <c:ptCount val="4"/>
                      <c:pt idx="0">
                        <c:v>2378</c:v>
                      </c:pt>
                      <c:pt idx="1">
                        <c:v>2626</c:v>
                      </c:pt>
                      <c:pt idx="2">
                        <c:v>908</c:v>
                      </c:pt>
                      <c:pt idx="3">
                        <c:v>1410</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nacionalidad'!$JB$28:$JP$28</c15:sqref>
                        </c15:formulaRef>
                      </c:ext>
                    </c:extLst>
                    <c:numCache>
                      <c:formatCode>#,##0</c:formatCode>
                      <c:ptCount val="4"/>
                      <c:pt idx="0">
                        <c:v>3040</c:v>
                      </c:pt>
                      <c:pt idx="1">
                        <c:v>3118</c:v>
                      </c:pt>
                      <c:pt idx="2">
                        <c:v>816</c:v>
                      </c:pt>
                      <c:pt idx="3">
                        <c:v>1042</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nacionalidad'!$JB$29:$JP$29</c15:sqref>
                        </c15:formulaRef>
                      </c:ext>
                    </c:extLst>
                    <c:numCache>
                      <c:formatCode>#,##0</c:formatCode>
                      <c:ptCount val="4"/>
                      <c:pt idx="0">
                        <c:v>5653</c:v>
                      </c:pt>
                      <c:pt idx="1">
                        <c:v>5473</c:v>
                      </c:pt>
                      <c:pt idx="2">
                        <c:v>1252</c:v>
                      </c:pt>
                      <c:pt idx="3">
                        <c:v>1025</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nacionalidad'!$JB$30:$JP$30</c15:sqref>
                        </c15:formulaRef>
                      </c:ext>
                    </c:extLst>
                    <c:numCache>
                      <c:formatCode>#,##0</c:formatCode>
                      <c:ptCount val="4"/>
                      <c:pt idx="0">
                        <c:v>2407</c:v>
                      </c:pt>
                      <c:pt idx="1">
                        <c:v>2561</c:v>
                      </c:pt>
                      <c:pt idx="2">
                        <c:v>443</c:v>
                      </c:pt>
                      <c:pt idx="3">
                        <c:v>1099</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nacionalidad'!$JB$31:$JP$31</c15:sqref>
                        </c15:formulaRef>
                      </c:ext>
                    </c:extLst>
                    <c:numCache>
                      <c:formatCode>#,##0</c:formatCode>
                      <c:ptCount val="4"/>
                      <c:pt idx="0">
                        <c:v>2374</c:v>
                      </c:pt>
                      <c:pt idx="1">
                        <c:v>2597</c:v>
                      </c:pt>
                      <c:pt idx="2">
                        <c:v>566</c:v>
                      </c:pt>
                      <c:pt idx="3">
                        <c:v>719</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nacionalidad'!$JB$32:$JP$32</c15:sqref>
                        </c15:formulaRef>
                      </c:ext>
                    </c:extLst>
                    <c:numCache>
                      <c:formatCode>#,##0</c:formatCode>
                      <c:ptCount val="4"/>
                      <c:pt idx="0">
                        <c:v>2190</c:v>
                      </c:pt>
                      <c:pt idx="1">
                        <c:v>2420</c:v>
                      </c:pt>
                      <c:pt idx="2">
                        <c:v>677</c:v>
                      </c:pt>
                      <c:pt idx="3">
                        <c:v>713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nacionalidad'!$JB$33:$JP$33</c15:sqref>
                        </c15:formulaRef>
                      </c:ext>
                    </c:extLst>
                    <c:numCache>
                      <c:formatCode>#,##0</c:formatCode>
                      <c:ptCount val="4"/>
                      <c:pt idx="0">
                        <c:v>2055</c:v>
                      </c:pt>
                      <c:pt idx="1">
                        <c:v>2170</c:v>
                      </c:pt>
                      <c:pt idx="2">
                        <c:v>686</c:v>
                      </c:pt>
                      <c:pt idx="3">
                        <c:v>638</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nacionalidad'!$JB$34:$JP$34</c15:sqref>
                        </c15:formulaRef>
                      </c:ext>
                    </c:extLst>
                    <c:numCache>
                      <c:formatCode>#,##0</c:formatCode>
                      <c:ptCount val="4"/>
                      <c:pt idx="1">
                        <c:v>1564</c:v>
                      </c:pt>
                      <c:pt idx="3">
                        <c:v>615</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nacionalidad'!$JB$35:$JP$35</c15:sqref>
                        </c15:formulaRef>
                      </c:ext>
                    </c:extLst>
                    <c:numCache>
                      <c:formatCode>#,##0</c:formatCode>
                      <c:ptCount val="4"/>
                      <c:pt idx="0">
                        <c:v>3697</c:v>
                      </c:pt>
                      <c:pt idx="1">
                        <c:v>3398</c:v>
                      </c:pt>
                      <c:pt idx="2">
                        <c:v>862</c:v>
                      </c:pt>
                      <c:pt idx="3">
                        <c:v>359</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nacionalidad'!$JB$36:$JP$36</c15:sqref>
                        </c15:formulaRef>
                      </c:ext>
                    </c:extLst>
                    <c:numCache>
                      <c:formatCode>#,##0</c:formatCode>
                      <c:ptCount val="4"/>
                      <c:pt idx="0">
                        <c:v>6829</c:v>
                      </c:pt>
                      <c:pt idx="1">
                        <c:v>6682</c:v>
                      </c:pt>
                      <c:pt idx="2">
                        <c:v>1346</c:v>
                      </c:pt>
                      <c:pt idx="3">
                        <c:v>288</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nacionalidad'!$JB$37:$JP$37</c15:sqref>
                        </c15:formulaRef>
                      </c:ext>
                    </c:extLst>
                    <c:numCache>
                      <c:formatCode>#,##0</c:formatCode>
                      <c:ptCount val="4"/>
                      <c:pt idx="0">
                        <c:v>2473</c:v>
                      </c:pt>
                      <c:pt idx="1">
                        <c:v>2610</c:v>
                      </c:pt>
                      <c:pt idx="2">
                        <c:v>990</c:v>
                      </c:pt>
                      <c:pt idx="3">
                        <c:v>605</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4"/>
                      <c:pt idx="0">
                        <c:v>2018</c:v>
                      </c:pt>
                      <c:pt idx="1">
                        <c:v>2019</c:v>
                      </c:pt>
                      <c:pt idx="2">
                        <c:v>2020</c:v>
                      </c:pt>
                      <c:pt idx="3">
                        <c:v>2021</c:v>
                      </c:pt>
                    </c:numCache>
                  </c:numRef>
                </c:cat>
                <c:val>
                  <c:numRef>
                    <c:extLst xmlns:c15="http://schemas.microsoft.com/office/drawing/2012/chart">
                      <c:ext xmlns:c15="http://schemas.microsoft.com/office/drawing/2012/chart" uri="{02D57815-91ED-43cb-92C2-25804820EDAC}">
                        <c15:formulaRef>
                          <c15:sqref>'Llegadas x nacionalidad'!$JB$38:$JP$38</c15:sqref>
                        </c15:formulaRef>
                      </c:ext>
                    </c:extLst>
                    <c:numCache>
                      <c:formatCode>#,##0</c:formatCode>
                      <c:ptCount val="4"/>
                      <c:pt idx="0">
                        <c:v>49590</c:v>
                      </c:pt>
                      <c:pt idx="1">
                        <c:v>48644</c:v>
                      </c:pt>
                      <c:pt idx="2">
                        <c:v>10451</c:v>
                      </c:pt>
                      <c:pt idx="3">
                        <c:v>13818</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AMS'!$B$254</c:f>
              <c:strCache>
                <c:ptCount val="1"/>
                <c:pt idx="0">
                  <c:v>Variación arribos internacionales 
2021-2022</c:v>
                </c:pt>
              </c:strCache>
            </c:strRef>
          </c:tx>
          <c:spPr>
            <a:ln w="22225" cap="rnd">
              <a:solidFill>
                <a:schemeClr val="accent1">
                  <a:alpha val="98000"/>
                </a:schemeClr>
              </a:solidFill>
            </a:ln>
            <a:effectLst>
              <a:glow rad="139700">
                <a:schemeClr val="accent1">
                  <a:satMod val="175000"/>
                  <a:alpha val="14000"/>
                </a:schemeClr>
              </a:glow>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21120574131E-2"/>
                  <c:y val="-4.63926094705631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2.6010032633581794E-2"/>
                  <c:y val="-4.402104018228198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layout>
                <c:manualLayout>
                  <c:x val="-1.7510495426112233E-2"/>
                  <c:y val="-5.251775058617262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60-45C3-B15C-C54908126D41}"/>
                </c:ext>
              </c:extLst>
            </c:dLbl>
            <c:dLbl>
              <c:idx val="10"/>
              <c:layout>
                <c:manualLayout>
                  <c:x val="-1.4816573052864098E-2"/>
                  <c:y val="-5.776952564478988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60-45C3-B15C-C54908126D41}"/>
                </c:ext>
              </c:extLst>
            </c:dLbl>
            <c:dLbl>
              <c:idx val="11"/>
              <c:layout>
                <c:manualLayout>
                  <c:x val="-2.559226254585634E-2"/>
                  <c:y val="-5.251775058617262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AMS'!$C$254:$N$254</c:f>
              <c:numCache>
                <c:formatCode>0.00%</c:formatCode>
                <c:ptCount val="12"/>
                <c:pt idx="0">
                  <c:v>1.0021645802518129</c:v>
                </c:pt>
                <c:pt idx="1">
                  <c:v>1.2181057358644622</c:v>
                </c:pt>
                <c:pt idx="2">
                  <c:v>1.3121468926553672</c:v>
                </c:pt>
                <c:pt idx="3">
                  <c:v>1.3559376118046358</c:v>
                </c:pt>
                <c:pt idx="4">
                  <c:v>1.2652185269637779</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2"/>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withinLinear" id="16">
  <a:schemeClr val="accent3"/>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withinLinear" id="17">
  <a:schemeClr val="accent4"/>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61.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7.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34.jpeg"/><Relationship Id="rId1" Type="http://schemas.openxmlformats.org/officeDocument/2006/relationships/image" Target="../media/image33.jpeg"/><Relationship Id="rId5" Type="http://schemas.openxmlformats.org/officeDocument/2006/relationships/image" Target="../media/image36.jpeg"/><Relationship Id="rId4" Type="http://schemas.openxmlformats.org/officeDocument/2006/relationships/image" Target="../media/image3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7.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41.xml"/><Relationship Id="rId3" Type="http://schemas.openxmlformats.org/officeDocument/2006/relationships/chart" Target="../charts/chart37.xml"/><Relationship Id="rId7" Type="http://schemas.openxmlformats.org/officeDocument/2006/relationships/image" Target="../media/image40.png"/><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 Id="rId9" Type="http://schemas.openxmlformats.org/officeDocument/2006/relationships/chart" Target="../charts/chart42.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media/image16.png"/><Relationship Id="rId3" Type="http://schemas.openxmlformats.org/officeDocument/2006/relationships/chart" Target="../charts/chart2.xml"/><Relationship Id="rId21" Type="http://schemas.openxmlformats.org/officeDocument/2006/relationships/image" Target="../media/image19.png"/><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image" Target="../media/image3.png"/><Relationship Id="rId16" Type="http://schemas.openxmlformats.org/officeDocument/2006/relationships/image" Target="../media/image14.png"/><Relationship Id="rId20" Type="http://schemas.openxmlformats.org/officeDocument/2006/relationships/image" Target="../media/image18.png"/><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9.png"/><Relationship Id="rId5" Type="http://schemas.openxmlformats.org/officeDocument/2006/relationships/chart" Target="../charts/chart3.xml"/><Relationship Id="rId15" Type="http://schemas.openxmlformats.org/officeDocument/2006/relationships/image" Target="../media/image13.png"/><Relationship Id="rId10" Type="http://schemas.openxmlformats.org/officeDocument/2006/relationships/image" Target="../media/image8.png"/><Relationship Id="rId19"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7.png"/><Relationship Id="rId14" Type="http://schemas.openxmlformats.org/officeDocument/2006/relationships/image" Target="../media/image12.png"/><Relationship Id="rId22" Type="http://schemas.openxmlformats.org/officeDocument/2006/relationships/image" Target="../media/image20.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36.xml.rels><?xml version="1.0" encoding="UTF-8" standalone="yes"?>
<Relationships xmlns="http://schemas.openxmlformats.org/package/2006/relationships"><Relationship Id="rId3" Type="http://schemas.openxmlformats.org/officeDocument/2006/relationships/image" Target="../media/image41.emf"/><Relationship Id="rId2" Type="http://schemas.openxmlformats.org/officeDocument/2006/relationships/chart" Target="../charts/chart67.xml"/><Relationship Id="rId1" Type="http://schemas.openxmlformats.org/officeDocument/2006/relationships/chart" Target="../charts/chart6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4.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chart" Target="../charts/chart6.xml"/><Relationship Id="rId7" Type="http://schemas.openxmlformats.org/officeDocument/2006/relationships/image" Target="../media/image23.png"/><Relationship Id="rId2" Type="http://schemas.openxmlformats.org/officeDocument/2006/relationships/chart" Target="../charts/chart5.xml"/><Relationship Id="rId1" Type="http://schemas.openxmlformats.org/officeDocument/2006/relationships/image" Target="../media/image21.png"/><Relationship Id="rId6" Type="http://schemas.openxmlformats.org/officeDocument/2006/relationships/image" Target="../media/image22.png"/><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image" Target="../media/image25.png"/></Relationships>
</file>

<file path=xl/drawings/_rels/drawing41.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57.xml.rels><?xml version="1.0" encoding="UTF-8" standalone="yes"?>
<Relationships xmlns="http://schemas.openxmlformats.org/package/2006/relationships"><Relationship Id="rId1" Type="http://schemas.openxmlformats.org/officeDocument/2006/relationships/image" Target="../media/image42.emf"/></Relationships>
</file>

<file path=xl/drawings/_rels/drawing6.xml.rels><?xml version="1.0" encoding="UTF-8" standalone="yes"?>
<Relationships xmlns="http://schemas.openxmlformats.org/package/2006/relationships"><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6.xml"/><Relationship Id="rId3" Type="http://schemas.openxmlformats.org/officeDocument/2006/relationships/chart" Target="../charts/chart21.xml"/><Relationship Id="rId7" Type="http://schemas.openxmlformats.org/officeDocument/2006/relationships/chart" Target="../charts/chart25.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144780</xdr:colOff>
      <xdr:row>38</xdr:row>
      <xdr:rowOff>91440</xdr:rowOff>
    </xdr:from>
    <xdr:to>
      <xdr:col>12</xdr:col>
      <xdr:colOff>342899</xdr:colOff>
      <xdr:row>40</xdr:row>
      <xdr:rowOff>6803</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bwMode="auto">
        <a:xfrm>
          <a:off x="10401300" y="91440"/>
          <a:ext cx="1219199" cy="470535"/>
        </a:xfrm>
        <a:prstGeom prst="rect">
          <a:avLst/>
        </a:prstGeom>
        <a:blipFill dpi="0" rotWithShape="1">
          <a:blip xmlns:r="http://schemas.openxmlformats.org/officeDocument/2006/relationships" r:embed="rId2" cstate="email">
            <a:extLst>
              <a:ext uri="{28A0092B-C50C-407E-A947-70E740481C1C}">
                <a14:useLocalDpi xmlns:a14="http://schemas.microsoft.com/office/drawing/2010/main"/>
              </a:ext>
            </a:extLst>
          </a:blip>
          <a:srcRect/>
          <a:stretch>
            <a:fillRect/>
          </a:stretch>
        </a:blipFill>
        <a:ln>
          <a:noFill/>
        </a:ln>
      </xdr:spPr>
    </xdr:pic>
    <xdr:clientData/>
  </xdr:twoCellAnchor>
  <xdr:twoCellAnchor>
    <xdr:from>
      <xdr:col>13</xdr:col>
      <xdr:colOff>473562</xdr:colOff>
      <xdr:row>5</xdr:row>
      <xdr:rowOff>2017</xdr:rowOff>
    </xdr:from>
    <xdr:to>
      <xdr:col>26</xdr:col>
      <xdr:colOff>17929</xdr:colOff>
      <xdr:row>22</xdr:row>
      <xdr:rowOff>1219200</xdr:rowOff>
    </xdr:to>
    <xdr:graphicFrame macro="">
      <xdr:nvGraphicFramePr>
        <xdr:cNvPr id="3" name="Gráfico 2">
          <a:extLst>
            <a:ext uri="{FF2B5EF4-FFF2-40B4-BE49-F238E27FC236}">
              <a16:creationId xmlns:a16="http://schemas.microsoft.com/office/drawing/2014/main" id="{7FD18014-32EA-44EA-85A4-616EFC652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144780</xdr:colOff>
      <xdr:row>0</xdr:row>
      <xdr:rowOff>91440</xdr:rowOff>
    </xdr:from>
    <xdr:to>
      <xdr:col>12</xdr:col>
      <xdr:colOff>348614</xdr:colOff>
      <xdr:row>3</xdr:row>
      <xdr:rowOff>0</xdr:rowOff>
    </xdr:to>
    <xdr:pic>
      <xdr:nvPicPr>
        <xdr:cNvPr id="4" name="5 Imagen">
          <a:extLst>
            <a:ext uri="{FF2B5EF4-FFF2-40B4-BE49-F238E27FC236}">
              <a16:creationId xmlns:a16="http://schemas.microsoft.com/office/drawing/2014/main" id="{BDC4EA39-95CC-4F55-8F77-AD6095708E04}"/>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4561820" y="91440"/>
          <a:ext cx="1227091" cy="457200"/>
        </a:xfrm>
        <a:prstGeom prst="rect">
          <a:avLst/>
        </a:prstGeom>
        <a:blipFill dpi="0" rotWithShape="1">
          <a:blip xmlns:r="http://schemas.openxmlformats.org/officeDocument/2006/relationships" r:embed="rId5" cstate="email">
            <a:extLst>
              <a:ext uri="{28A0092B-C50C-407E-A947-70E740481C1C}">
                <a14:useLocalDpi xmlns:a14="http://schemas.microsoft.com/office/drawing/2010/main"/>
              </a:ext>
            </a:extLst>
          </a:blip>
          <a:srcRect/>
          <a:stretch>
            <a:fillRect/>
          </a:stretch>
        </a:blip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8252461" y="4236720"/>
          <a:ext cx="4003588" cy="2438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305780</xdr:colOff>
      <xdr:row>30</xdr:row>
      <xdr:rowOff>55344</xdr:rowOff>
    </xdr:to>
    <xdr:pic>
      <xdr:nvPicPr>
        <xdr:cNvPr id="2" name="Imagen 1">
          <a:extLst>
            <a:ext uri="{FF2B5EF4-FFF2-40B4-BE49-F238E27FC236}">
              <a16:creationId xmlns:a16="http://schemas.microsoft.com/office/drawing/2014/main" id="{99EF2D21-2084-43DE-B4F1-AC6C8572B38E}"/>
            </a:ext>
          </a:extLst>
        </xdr:cNvPr>
        <xdr:cNvPicPr>
          <a:picLocks noChangeAspect="1"/>
        </xdr:cNvPicPr>
      </xdr:nvPicPr>
      <xdr:blipFill>
        <a:blip xmlns:r="http://schemas.openxmlformats.org/officeDocument/2006/relationships" r:embed="rId1"/>
        <a:stretch>
          <a:fillRect/>
        </a:stretch>
      </xdr:blipFill>
      <xdr:spPr>
        <a:xfrm>
          <a:off x="0" y="0"/>
          <a:ext cx="11309060" cy="5541744"/>
        </a:xfrm>
        <a:prstGeom prst="rect">
          <a:avLst/>
        </a:prstGeom>
      </xdr:spPr>
    </xdr:pic>
    <xdr:clientData/>
  </xdr:twoCellAnchor>
  <xdr:twoCellAnchor>
    <xdr:from>
      <xdr:col>0</xdr:col>
      <xdr:colOff>174172</xdr:colOff>
      <xdr:row>41</xdr:row>
      <xdr:rowOff>65315</xdr:rowOff>
    </xdr:from>
    <xdr:to>
      <xdr:col>12</xdr:col>
      <xdr:colOff>54428</xdr:colOff>
      <xdr:row>69</xdr:row>
      <xdr:rowOff>108857</xdr:rowOff>
    </xdr:to>
    <xdr:graphicFrame macro="">
      <xdr:nvGraphicFramePr>
        <xdr:cNvPr id="3" name="Gráfico 2">
          <a:extLst>
            <a:ext uri="{FF2B5EF4-FFF2-40B4-BE49-F238E27FC236}">
              <a16:creationId xmlns:a16="http://schemas.microsoft.com/office/drawing/2014/main" id="{4269BABC-0DE5-46E5-A8F2-A910D6558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464820</xdr:colOff>
      <xdr:row>35</xdr:row>
      <xdr:rowOff>175260</xdr:rowOff>
    </xdr:from>
    <xdr:to>
      <xdr:col>29</xdr:col>
      <xdr:colOff>243840</xdr:colOff>
      <xdr:row>48</xdr:row>
      <xdr:rowOff>148590</xdr:rowOff>
    </xdr:to>
    <xdr:graphicFrame macro="">
      <xdr:nvGraphicFramePr>
        <xdr:cNvPr id="2" name="Gráfico 1">
          <a:extLst>
            <a:ext uri="{FF2B5EF4-FFF2-40B4-BE49-F238E27FC236}">
              <a16:creationId xmlns:a16="http://schemas.microsoft.com/office/drawing/2014/main" id="{84812AC6-4421-41F6-A0B1-B12C002F4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7626</xdr:colOff>
      <xdr:row>48</xdr:row>
      <xdr:rowOff>217170</xdr:rowOff>
    </xdr:from>
    <xdr:to>
      <xdr:col>29</xdr:col>
      <xdr:colOff>243840</xdr:colOff>
      <xdr:row>62</xdr:row>
      <xdr:rowOff>60960</xdr:rowOff>
    </xdr:to>
    <xdr:graphicFrame macro="">
      <xdr:nvGraphicFramePr>
        <xdr:cNvPr id="3" name="Gráfico 2">
          <a:extLst>
            <a:ext uri="{FF2B5EF4-FFF2-40B4-BE49-F238E27FC236}">
              <a16:creationId xmlns:a16="http://schemas.microsoft.com/office/drawing/2014/main" id="{20420BF0-5A05-418A-812A-7C0356F06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388626</xdr:colOff>
      <xdr:row>37</xdr:row>
      <xdr:rowOff>80010</xdr:rowOff>
    </xdr:from>
    <xdr:to>
      <xdr:col>34</xdr:col>
      <xdr:colOff>716280</xdr:colOff>
      <xdr:row>54</xdr:row>
      <xdr:rowOff>243840</xdr:rowOff>
    </xdr:to>
    <xdr:graphicFrame macro="">
      <xdr:nvGraphicFramePr>
        <xdr:cNvPr id="5" name="Gráfico 4">
          <a:extLst>
            <a:ext uri="{FF2B5EF4-FFF2-40B4-BE49-F238E27FC236}">
              <a16:creationId xmlns:a16="http://schemas.microsoft.com/office/drawing/2014/main" id="{345B4874-72B4-4F16-873A-22A614AB1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198120</xdr:colOff>
      <xdr:row>30</xdr:row>
      <xdr:rowOff>179070</xdr:rowOff>
    </xdr:from>
    <xdr:to>
      <xdr:col>29</xdr:col>
      <xdr:colOff>320040</xdr:colOff>
      <xdr:row>43</xdr:row>
      <xdr:rowOff>45720</xdr:rowOff>
    </xdr:to>
    <xdr:graphicFrame macro="">
      <xdr:nvGraphicFramePr>
        <xdr:cNvPr id="6" name="Gráfico 5">
          <a:extLst>
            <a:ext uri="{FF2B5EF4-FFF2-40B4-BE49-F238E27FC236}">
              <a16:creationId xmlns:a16="http://schemas.microsoft.com/office/drawing/2014/main" id="{3441CD7A-027C-41D7-A6A5-A21C292AB4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24</xdr:col>
      <xdr:colOff>0</xdr:colOff>
      <xdr:row>37</xdr:row>
      <xdr:rowOff>0</xdr:rowOff>
    </xdr:from>
    <xdr:to>
      <xdr:col>28</xdr:col>
      <xdr:colOff>698211</xdr:colOff>
      <xdr:row>46</xdr:row>
      <xdr:rowOff>169962</xdr:rowOff>
    </xdr:to>
    <xdr:sp macro="" textlink="">
      <xdr:nvSpPr>
        <xdr:cNvPr id="2" name="CuadroTexto 7">
          <a:extLst>
            <a:ext uri="{FF2B5EF4-FFF2-40B4-BE49-F238E27FC236}">
              <a16:creationId xmlns:a16="http://schemas.microsoft.com/office/drawing/2014/main" id="{F90A3B2A-A98F-F5C5-2270-AC403D2F8C4D}"/>
            </a:ext>
          </a:extLst>
        </xdr:cNvPr>
        <xdr:cNvSpPr txBox="1"/>
      </xdr:nvSpPr>
      <xdr:spPr>
        <a:xfrm>
          <a:off x="15194280" y="7338060"/>
          <a:ext cx="4477731" cy="1815882"/>
        </a:xfrm>
        <a:prstGeom prst="rect">
          <a:avLst/>
        </a:prstGeom>
      </xdr:spPr>
      <xdr:style>
        <a:lnRef idx="1">
          <a:schemeClr val="accent6"/>
        </a:lnRef>
        <a:fillRef idx="2">
          <a:schemeClr val="accent6"/>
        </a:fillRef>
        <a:effectRef idx="1">
          <a:schemeClr val="accent6"/>
        </a:effectRef>
        <a:fontRef idx="minor">
          <a:schemeClr val="dk1"/>
        </a:fontRef>
      </xdr:style>
      <xdr:txBody>
        <a:bodyPr wrap="square" rtlCol="0">
          <a:spAutoFit/>
        </a:bodyPr>
        <a:lstStyle>
          <a:defPPr>
            <a:defRPr lang="es-EC"/>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s-EC" sz="1600"/>
            <a:t>Llegada de visitantes no residentes, por vía aérea y terminales terrestres:</a:t>
          </a:r>
        </a:p>
        <a:p>
          <a:endParaRPr lang="es-EC" sz="1600"/>
        </a:p>
        <a:p>
          <a:r>
            <a:rPr lang="es-EC" sz="1600"/>
            <a:t>2021.- 46.692</a:t>
          </a:r>
        </a:p>
        <a:p>
          <a:r>
            <a:rPr lang="es-EC" sz="1600"/>
            <a:t>2022.- 83.294</a:t>
          </a:r>
        </a:p>
        <a:p>
          <a:endParaRPr lang="es-EC" sz="1600"/>
        </a:p>
        <a:p>
          <a:r>
            <a:rPr lang="es-EC" sz="1600"/>
            <a:t>178% de incremente en 2022 respecto de 2021</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42333</xdr:colOff>
      <xdr:row>16</xdr:row>
      <xdr:rowOff>177800</xdr:rowOff>
    </xdr:from>
    <xdr:to>
      <xdr:col>26</xdr:col>
      <xdr:colOff>592667</xdr:colOff>
      <xdr:row>35</xdr:row>
      <xdr:rowOff>67733</xdr:rowOff>
    </xdr:to>
    <xdr:graphicFrame macro="">
      <xdr:nvGraphicFramePr>
        <xdr:cNvPr id="2" name="Gráfico 1">
          <a:extLst>
            <a:ext uri="{FF2B5EF4-FFF2-40B4-BE49-F238E27FC236}">
              <a16:creationId xmlns:a16="http://schemas.microsoft.com/office/drawing/2014/main" id="{FBB59401-1178-4F65-B83C-9D8B3CCA1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34</xdr:col>
      <xdr:colOff>840052</xdr:colOff>
      <xdr:row>44</xdr:row>
      <xdr:rowOff>59531</xdr:rowOff>
    </xdr:from>
    <xdr:to>
      <xdr:col>45</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889000</xdr:colOff>
      <xdr:row>61</xdr:row>
      <xdr:rowOff>116417</xdr:rowOff>
    </xdr:from>
    <xdr:to>
      <xdr:col>45</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889000</xdr:colOff>
      <xdr:row>78</xdr:row>
      <xdr:rowOff>187854</xdr:rowOff>
    </xdr:from>
    <xdr:to>
      <xdr:col>45</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35</xdr:col>
      <xdr:colOff>136977</xdr:colOff>
      <xdr:row>12</xdr:row>
      <xdr:rowOff>71966</xdr:rowOff>
    </xdr:from>
    <xdr:to>
      <xdr:col>46</xdr:col>
      <xdr:colOff>356507</xdr:colOff>
      <xdr:row>24</xdr:row>
      <xdr:rowOff>65314</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862693</xdr:colOff>
      <xdr:row>98</xdr:row>
      <xdr:rowOff>24494</xdr:rowOff>
    </xdr:from>
    <xdr:to>
      <xdr:col>47</xdr:col>
      <xdr:colOff>70035</xdr:colOff>
      <xdr:row>108</xdr:row>
      <xdr:rowOff>100694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201082</xdr:colOff>
      <xdr:row>3</xdr:row>
      <xdr:rowOff>115357</xdr:rowOff>
    </xdr:from>
    <xdr:to>
      <xdr:col>75</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73</xdr:col>
      <xdr:colOff>857250</xdr:colOff>
      <xdr:row>17</xdr:row>
      <xdr:rowOff>169334</xdr:rowOff>
    </xdr:from>
    <xdr:to>
      <xdr:col>76</xdr:col>
      <xdr:colOff>368036</xdr:colOff>
      <xdr:row>21</xdr:row>
      <xdr:rowOff>100249</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48217667" y="3608917"/>
          <a:ext cx="2114286" cy="1123810"/>
        </a:xfrm>
        <a:prstGeom prst="rect">
          <a:avLst/>
        </a:prstGeom>
      </xdr:spPr>
    </xdr:pic>
    <xdr:clientData/>
  </xdr:twoCellAnchor>
  <xdr:twoCellAnchor>
    <xdr:from>
      <xdr:col>82</xdr:col>
      <xdr:colOff>304799</xdr:colOff>
      <xdr:row>6</xdr:row>
      <xdr:rowOff>157842</xdr:rowOff>
    </xdr:from>
    <xdr:to>
      <xdr:col>92</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217714</xdr:colOff>
      <xdr:row>26</xdr:row>
      <xdr:rowOff>108857</xdr:rowOff>
    </xdr:from>
    <xdr:to>
      <xdr:col>46</xdr:col>
      <xdr:colOff>751115</xdr:colOff>
      <xdr:row>42</xdr:row>
      <xdr:rowOff>97971</xdr:rowOff>
    </xdr:to>
    <xdr:graphicFrame macro="">
      <xdr:nvGraphicFramePr>
        <xdr:cNvPr id="16" name="Gráfico 15">
          <a:extLst>
            <a:ext uri="{FF2B5EF4-FFF2-40B4-BE49-F238E27FC236}">
              <a16:creationId xmlns:a16="http://schemas.microsoft.com/office/drawing/2014/main" id="{5DBD4258-3893-46C9-86D6-FF3C2C1AF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184</xdr:col>
      <xdr:colOff>0</xdr:colOff>
      <xdr:row>13</xdr:row>
      <xdr:rowOff>47625</xdr:rowOff>
    </xdr:from>
    <xdr:to>
      <xdr:col>202</xdr:col>
      <xdr:colOff>327660</xdr:colOff>
      <xdr:row>24</xdr:row>
      <xdr:rowOff>22860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183</xdr:col>
      <xdr:colOff>19050</xdr:colOff>
      <xdr:row>7</xdr:row>
      <xdr:rowOff>95250</xdr:rowOff>
    </xdr:from>
    <xdr:to>
      <xdr:col>183</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184</xdr:col>
      <xdr:colOff>0</xdr:colOff>
      <xdr:row>27</xdr:row>
      <xdr:rowOff>0</xdr:rowOff>
    </xdr:from>
    <xdr:to>
      <xdr:col>202</xdr:col>
      <xdr:colOff>304800</xdr:colOff>
      <xdr:row>45</xdr:row>
      <xdr:rowOff>7620</xdr:rowOff>
    </xdr:to>
    <xdr:graphicFrame macro="">
      <xdr:nvGraphicFramePr>
        <xdr:cNvPr id="7" name="2 Gráfico">
          <a:extLst>
            <a:ext uri="{FF2B5EF4-FFF2-40B4-BE49-F238E27FC236}">
              <a16:creationId xmlns:a16="http://schemas.microsoft.com/office/drawing/2014/main" id="{2A9665EA-47E1-44C7-91F9-8DD339417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20</xdr:col>
      <xdr:colOff>98612</xdr:colOff>
      <xdr:row>29</xdr:row>
      <xdr:rowOff>143436</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653554"/>
          <a:ext cx="3630706" cy="13805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1,14 (estimado) </a:t>
          </a:r>
        </a:p>
        <a:p>
          <a:r>
            <a:rPr lang="es-EC" sz="1100" baseline="0">
              <a:solidFill>
                <a:schemeClr val="dk1"/>
              </a:solidFill>
              <a:effectLst/>
              <a:latin typeface="+mn-lt"/>
              <a:ea typeface="+mn-ea"/>
              <a:cs typeface="+mn-cs"/>
            </a:rPr>
            <a:t>2022: 1,44 (proyectado) </a:t>
          </a:r>
        </a:p>
        <a:p>
          <a:endParaRPr lang="es-E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195942</xdr:colOff>
      <xdr:row>2</xdr:row>
      <xdr:rowOff>54431</xdr:rowOff>
    </xdr:from>
    <xdr:to>
      <xdr:col>1</xdr:col>
      <xdr:colOff>2998350</xdr:colOff>
      <xdr:row>2</xdr:row>
      <xdr:rowOff>587831</xdr:rowOff>
    </xdr:to>
    <xdr:pic>
      <xdr:nvPicPr>
        <xdr:cNvPr id="5" name="Imagen 4">
          <a:extLst>
            <a:ext uri="{FF2B5EF4-FFF2-40B4-BE49-F238E27FC236}">
              <a16:creationId xmlns:a16="http://schemas.microsoft.com/office/drawing/2014/main" id="{924409F7-E02A-463E-88D5-0AC6E38F5FB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95942" y="511631"/>
          <a:ext cx="3096322" cy="533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1809751</xdr:colOff>
      <xdr:row>96</xdr:row>
      <xdr:rowOff>12305</xdr:rowOff>
    </xdr:from>
    <xdr:to>
      <xdr:col>13</xdr:col>
      <xdr:colOff>631103</xdr:colOff>
      <xdr:row>108</xdr:row>
      <xdr:rowOff>95249</xdr:rowOff>
    </xdr:to>
    <xdr:graphicFrame macro="">
      <xdr:nvGraphicFramePr>
        <xdr:cNvPr id="2" name="2 Gráfico">
          <a:extLst>
            <a:ext uri="{FF2B5EF4-FFF2-40B4-BE49-F238E27FC236}">
              <a16:creationId xmlns:a16="http://schemas.microsoft.com/office/drawing/2014/main" id="{9DBF26B4-B078-4B4C-B9B5-9A08F1312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1809750</xdr:colOff>
      <xdr:row>110</xdr:row>
      <xdr:rowOff>122466</xdr:rowOff>
    </xdr:from>
    <xdr:to>
      <xdr:col>13</xdr:col>
      <xdr:colOff>646978</xdr:colOff>
      <xdr:row>120</xdr:row>
      <xdr:rowOff>176894</xdr:rowOff>
    </xdr:to>
    <xdr:graphicFrame macro="">
      <xdr:nvGraphicFramePr>
        <xdr:cNvPr id="3" name="2 Gráfico">
          <a:extLst>
            <a:ext uri="{FF2B5EF4-FFF2-40B4-BE49-F238E27FC236}">
              <a16:creationId xmlns:a16="http://schemas.microsoft.com/office/drawing/2014/main" id="{07B23864-9135-4D18-92E6-FBC3BD7DC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729343</xdr:colOff>
      <xdr:row>14</xdr:row>
      <xdr:rowOff>54430</xdr:rowOff>
    </xdr:from>
    <xdr:to>
      <xdr:col>22</xdr:col>
      <xdr:colOff>729343</xdr:colOff>
      <xdr:row>37</xdr:row>
      <xdr:rowOff>76201</xdr:rowOff>
    </xdr:to>
    <xdr:graphicFrame macro="">
      <xdr:nvGraphicFramePr>
        <xdr:cNvPr id="4" name="Gráfico 3">
          <a:extLst>
            <a:ext uri="{FF2B5EF4-FFF2-40B4-BE49-F238E27FC236}">
              <a16:creationId xmlns:a16="http://schemas.microsoft.com/office/drawing/2014/main" id="{56869E06-01B7-4675-977C-BB4019F22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468086</xdr:colOff>
      <xdr:row>8</xdr:row>
      <xdr:rowOff>152400</xdr:rowOff>
    </xdr:from>
    <xdr:to>
      <xdr:col>21</xdr:col>
      <xdr:colOff>744071</xdr:colOff>
      <xdr:row>24</xdr:row>
      <xdr:rowOff>97971</xdr:rowOff>
    </xdr:to>
    <xdr:graphicFrame macro="">
      <xdr:nvGraphicFramePr>
        <xdr:cNvPr id="2" name="Gráfico 1">
          <a:extLst>
            <a:ext uri="{FF2B5EF4-FFF2-40B4-BE49-F238E27FC236}">
              <a16:creationId xmlns:a16="http://schemas.microsoft.com/office/drawing/2014/main" id="{AF086D07-5BB2-4A10-ACC4-F47C61520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900853</xdr:colOff>
      <xdr:row>30</xdr:row>
      <xdr:rowOff>11974</xdr:rowOff>
    </xdr:from>
    <xdr:to>
      <xdr:col>4</xdr:col>
      <xdr:colOff>45720</xdr:colOff>
      <xdr:row>44</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25</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30</xdr:row>
      <xdr:rowOff>136071</xdr:rowOff>
    </xdr:from>
    <xdr:to>
      <xdr:col>8</xdr:col>
      <xdr:colOff>236220</xdr:colOff>
      <xdr:row>39</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5767251"/>
          <a:ext cx="4930140"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5.085.</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84%</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16% en zonas </a:t>
          </a:r>
          <a:r>
            <a:rPr lang="es-EC" sz="1100">
              <a:solidFill>
                <a:schemeClr val="dk1"/>
              </a:solidFill>
              <a:latin typeface="+mn-lt"/>
              <a:ea typeface="+mn-ea"/>
              <a:cs typeface="+mn-cs"/>
            </a:rPr>
            <a:t>rurales, según el gráfico. (dato mayo</a:t>
          </a:r>
          <a:r>
            <a:rPr lang="es-EC" sz="1100" baseline="0">
              <a:solidFill>
                <a:schemeClr val="dk1"/>
              </a:solidFill>
              <a:latin typeface="+mn-lt"/>
              <a:ea typeface="+mn-ea"/>
              <a:cs typeface="+mn-cs"/>
            </a:rPr>
            <a:t> </a:t>
          </a:r>
          <a:r>
            <a:rPr lang="es-EC" sz="1100">
              <a:solidFill>
                <a:schemeClr val="dk1"/>
              </a:solidFill>
              <a:latin typeface="+mn-lt"/>
              <a:ea typeface="+mn-ea"/>
              <a:cs typeface="+mn-cs"/>
            </a:rPr>
            <a:t>2022)</a:t>
          </a:r>
        </a:p>
        <a:p>
          <a:endParaRPr lang="es-EC"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106679</xdr:colOff>
      <xdr:row>1</xdr:row>
      <xdr:rowOff>0</xdr:rowOff>
    </xdr:from>
    <xdr:to>
      <xdr:col>18</xdr:col>
      <xdr:colOff>692522</xdr:colOff>
      <xdr:row>20</xdr:row>
      <xdr:rowOff>105300</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89199</xdr:colOff>
      <xdr:row>21</xdr:row>
      <xdr:rowOff>95921</xdr:rowOff>
    </xdr:from>
    <xdr:to>
      <xdr:col>20</xdr:col>
      <xdr:colOff>537435</xdr:colOff>
      <xdr:row>40</xdr:row>
      <xdr:rowOff>246941</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571500</xdr:colOff>
      <xdr:row>12</xdr:row>
      <xdr:rowOff>128643</xdr:rowOff>
    </xdr:from>
    <xdr:to>
      <xdr:col>10</xdr:col>
      <xdr:colOff>1851660</xdr:colOff>
      <xdr:row>19</xdr:row>
      <xdr:rowOff>15240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5242560" y="2407023"/>
          <a:ext cx="5814060" cy="1166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s-EC" sz="1100">
              <a:solidFill>
                <a:schemeClr val="dk1"/>
              </a:solidFill>
              <a:effectLst/>
              <a:latin typeface="+mn-lt"/>
              <a:ea typeface="+mn-ea"/>
              <a:cs typeface="+mn-cs"/>
            </a:rPr>
            <a:t>En este 2022, el mayor porcentaje de negocios turísticos en el DMQ lo compone el subsector de Alimentos y Bebidas con 3.386 establecimientos en toda la ciudad, lo que significa el 67% de todo el catastro turístico. Después se ubican la operación e intermediación turística con un 16% y el alojamiento con el 14%. Finalmente, los subsectores con una menor participación son: recreación, diversión y esparcimiento con el 1% y el transporte turístico con el 2%. En total existen 5.085 negocios turísticos registrados en el catastro turístico de la ciudad de Quito.</a:t>
          </a:r>
          <a:endParaRPr lang="es-EC">
            <a:effectLst/>
          </a:endParaRPr>
        </a:p>
      </xdr:txBody>
    </xdr:sp>
    <xdr:clientData/>
  </xdr:twoCellAnchor>
  <xdr:twoCellAnchor>
    <xdr:from>
      <xdr:col>19</xdr:col>
      <xdr:colOff>0</xdr:colOff>
      <xdr:row>1</xdr:row>
      <xdr:rowOff>0</xdr:rowOff>
    </xdr:from>
    <xdr:to>
      <xdr:col>25</xdr:col>
      <xdr:colOff>585843</xdr:colOff>
      <xdr:row>20</xdr:row>
      <xdr:rowOff>105300</xdr:rowOff>
    </xdr:to>
    <xdr:graphicFrame macro="">
      <xdr:nvGraphicFramePr>
        <xdr:cNvPr id="5" name="Gráfico 4">
          <a:extLst>
            <a:ext uri="{FF2B5EF4-FFF2-40B4-BE49-F238E27FC236}">
              <a16:creationId xmlns:a16="http://schemas.microsoft.com/office/drawing/2014/main" id="{CA676C80-7522-4D98-BF88-109AD6AF9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2</xdr:col>
      <xdr:colOff>960120</xdr:colOff>
      <xdr:row>16</xdr:row>
      <xdr:rowOff>121920</xdr:rowOff>
    </xdr:from>
    <xdr:to>
      <xdr:col>15</xdr:col>
      <xdr:colOff>411480</xdr:colOff>
      <xdr:row>39</xdr:row>
      <xdr:rowOff>144780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70%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8.xml><?xml version="1.0" encoding="utf-8"?>
<xdr:wsDr xmlns:xdr="http://schemas.openxmlformats.org/drawingml/2006/spreadsheetDrawing" xmlns:a="http://schemas.openxmlformats.org/drawingml/2006/main">
  <xdr:twoCellAnchor>
    <xdr:from>
      <xdr:col>10</xdr:col>
      <xdr:colOff>270509</xdr:colOff>
      <xdr:row>6</xdr:row>
      <xdr:rowOff>80010</xdr:rowOff>
    </xdr:from>
    <xdr:to>
      <xdr:col>13</xdr:col>
      <xdr:colOff>76200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8538209" y="1423035"/>
          <a:ext cx="2177416"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426720</xdr:colOff>
      <xdr:row>2</xdr:row>
      <xdr:rowOff>0</xdr:rowOff>
    </xdr:from>
    <xdr:to>
      <xdr:col>18</xdr:col>
      <xdr:colOff>106680</xdr:colOff>
      <xdr:row>20</xdr:row>
      <xdr:rowOff>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246389</xdr:colOff>
      <xdr:row>23</xdr:row>
      <xdr:rowOff>206811</xdr:rowOff>
    </xdr:from>
    <xdr:to>
      <xdr:col>39</xdr:col>
      <xdr:colOff>327660</xdr:colOff>
      <xdr:row>30</xdr:row>
      <xdr:rowOff>91440</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9824729" y="5540811"/>
          <a:ext cx="6352531" cy="16296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2021: 280.996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 - mayo </a:t>
          </a:r>
          <a:r>
            <a:rPr lang="es-EC" sz="800" baseline="0">
              <a:solidFill>
                <a:schemeClr val="dk1"/>
              </a:solidFill>
              <a:effectLst/>
              <a:latin typeface="+mn-lt"/>
              <a:ea typeface="+mn-ea"/>
              <a:cs typeface="+mn-cs"/>
            </a:rPr>
            <a:t>2022: </a:t>
          </a:r>
          <a:r>
            <a:rPr lang="es-EC" sz="800" b="1" baseline="0">
              <a:solidFill>
                <a:schemeClr val="dk1"/>
              </a:solidFill>
              <a:effectLst/>
              <a:latin typeface="+mn-lt"/>
              <a:ea typeface="+mn-ea"/>
              <a:cs typeface="+mn-cs"/>
            </a:rPr>
            <a:t>188.526; </a:t>
          </a:r>
          <a:r>
            <a:rPr lang="es-EC" sz="800" b="0" baseline="0">
              <a:solidFill>
                <a:schemeClr val="dk1"/>
              </a:solidFill>
              <a:effectLst/>
              <a:latin typeface="+mn-lt"/>
              <a:ea typeface="+mn-ea"/>
              <a:cs typeface="+mn-cs"/>
            </a:rPr>
            <a:t>es decir, </a:t>
          </a:r>
          <a:r>
            <a:rPr lang="es-EC" sz="800" b="1" baseline="0">
              <a:solidFill>
                <a:schemeClr val="dk1"/>
              </a:solidFill>
              <a:effectLst/>
              <a:latin typeface="+mn-lt"/>
              <a:ea typeface="+mn-ea"/>
              <a:cs typeface="+mn-cs"/>
            </a:rPr>
            <a:t>+178.9% </a:t>
          </a:r>
          <a:r>
            <a:rPr lang="es-EC" sz="800" b="0" baseline="0">
              <a:solidFill>
                <a:schemeClr val="dk1"/>
              </a:solidFill>
              <a:effectLst/>
              <a:latin typeface="+mn-lt"/>
              <a:ea typeface="+mn-ea"/>
              <a:cs typeface="+mn-cs"/>
            </a:rPr>
            <a:t>( acumulado) respecto al mismo periodo acumulado en 2021</a:t>
          </a:r>
          <a:r>
            <a:rPr lang="es-EC" sz="800" b="1" baseline="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mayo</a:t>
          </a:r>
          <a:r>
            <a:rPr lang="es-EC" sz="800">
              <a:solidFill>
                <a:schemeClr val="dk1"/>
              </a:solidFill>
              <a:effectLst/>
              <a:latin typeface="+mn-lt"/>
              <a:ea typeface="+mn-ea"/>
              <a:cs typeface="+mn-cs"/>
            </a:rPr>
            <a:t> 2022 hubo un  </a:t>
          </a:r>
          <a:r>
            <a:rPr lang="es-EC" sz="800" b="1">
              <a:solidFill>
                <a:schemeClr val="dk1"/>
              </a:solidFill>
              <a:effectLst/>
              <a:latin typeface="+mn-lt"/>
              <a:ea typeface="+mn-ea"/>
              <a:cs typeface="+mn-cs"/>
            </a:rPr>
            <a:t>+186% </a:t>
          </a:r>
          <a:r>
            <a:rPr lang="es-EC" sz="800">
              <a:solidFill>
                <a:schemeClr val="dk1"/>
              </a:solidFill>
              <a:effectLst/>
              <a:latin typeface="+mn-lt"/>
              <a:ea typeface="+mn-ea"/>
              <a:cs typeface="+mn-cs"/>
            </a:rPr>
            <a:t>respecto al mismo mes en 2021. (llegadas solo en</a:t>
          </a:r>
          <a:r>
            <a:rPr lang="es-EC" sz="800" b="1">
              <a:solidFill>
                <a:schemeClr val="dk1"/>
              </a:solidFill>
              <a:effectLst/>
              <a:latin typeface="+mn-lt"/>
              <a:ea typeface="+mn-ea"/>
              <a:cs typeface="+mn-cs"/>
            </a:rPr>
            <a:t> mayo</a:t>
          </a:r>
          <a:r>
            <a:rPr lang="es-EC" sz="800">
              <a:solidFill>
                <a:schemeClr val="dk1"/>
              </a:solidFill>
              <a:effectLst/>
              <a:latin typeface="+mn-lt"/>
              <a:ea typeface="+mn-ea"/>
              <a:cs typeface="+mn-cs"/>
            </a:rPr>
            <a:t> 2022:</a:t>
          </a:r>
          <a:r>
            <a:rPr lang="es-EC" sz="800" b="1">
              <a:solidFill>
                <a:schemeClr val="dk1"/>
              </a:solidFill>
              <a:effectLst/>
              <a:latin typeface="+mn-lt"/>
              <a:ea typeface="+mn-ea"/>
              <a:cs typeface="+mn-cs"/>
            </a:rPr>
            <a:t> 43.757 </a:t>
          </a:r>
          <a:r>
            <a:rPr lang="es-EC" sz="8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a:t>
          </a:r>
          <a:r>
            <a:rPr lang="es-EC" sz="800" b="1">
              <a:solidFill>
                <a:schemeClr val="dk1"/>
              </a:solidFill>
              <a:effectLst/>
              <a:latin typeface="+mn-lt"/>
              <a:ea typeface="+mn-ea"/>
              <a:cs typeface="+mn-cs"/>
            </a:rPr>
            <a:t>+178,9%  </a:t>
          </a:r>
          <a:r>
            <a:rPr lang="es-EC" sz="800">
              <a:solidFill>
                <a:schemeClr val="dk1"/>
              </a:solidFill>
              <a:effectLst/>
              <a:latin typeface="+mn-lt"/>
              <a:ea typeface="+mn-ea"/>
              <a:cs typeface="+mn-cs"/>
            </a:rPr>
            <a:t>variación enero - mayo (2021-2022)</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a:t>
          </a:r>
          <a:r>
            <a:rPr lang="es-EC" sz="800" b="1">
              <a:solidFill>
                <a:schemeClr val="dk1"/>
              </a:solidFill>
              <a:effectLst/>
              <a:latin typeface="+mn-lt"/>
              <a:ea typeface="+mn-ea"/>
              <a:cs typeface="+mn-cs"/>
            </a:rPr>
            <a:t>-29%  </a:t>
          </a:r>
          <a:r>
            <a:rPr lang="es-EC" sz="800">
              <a:solidFill>
                <a:schemeClr val="dk1"/>
              </a:solidFill>
              <a:effectLst/>
              <a:latin typeface="+mn-lt"/>
              <a:ea typeface="+mn-ea"/>
              <a:cs typeface="+mn-cs"/>
            </a:rPr>
            <a:t>variación enero - mayo (2019-2022)</a:t>
          </a:r>
        </a:p>
      </xdr:txBody>
    </xdr:sp>
    <xdr:clientData/>
  </xdr:twoCellAnchor>
  <xdr:twoCellAnchor>
    <xdr:from>
      <xdr:col>53</xdr:col>
      <xdr:colOff>762001</xdr:colOff>
      <xdr:row>27</xdr:row>
      <xdr:rowOff>91440</xdr:rowOff>
    </xdr:from>
    <xdr:to>
      <xdr:col>63</xdr:col>
      <xdr:colOff>571501</xdr:colOff>
      <xdr:row>53</xdr:row>
      <xdr:rowOff>125506</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68</xdr:col>
      <xdr:colOff>52770</xdr:colOff>
      <xdr:row>4</xdr:row>
      <xdr:rowOff>19049</xdr:rowOff>
    </xdr:from>
    <xdr:to>
      <xdr:col>71</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2952527" y="1191866"/>
          <a:ext cx="2321353" cy="1800000"/>
        </a:xfrm>
        <a:prstGeom prst="rect">
          <a:avLst/>
        </a:prstGeom>
      </xdr:spPr>
    </xdr:pic>
    <xdr:clientData/>
  </xdr:twoCellAnchor>
  <xdr:twoCellAnchor>
    <xdr:from>
      <xdr:col>54</xdr:col>
      <xdr:colOff>290905</xdr:colOff>
      <xdr:row>0</xdr:row>
      <xdr:rowOff>155538</xdr:rowOff>
    </xdr:from>
    <xdr:to>
      <xdr:col>67</xdr:col>
      <xdr:colOff>735106</xdr:colOff>
      <xdr:row>21</xdr:row>
      <xdr:rowOff>8965</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71</xdr:col>
      <xdr:colOff>130889</xdr:colOff>
      <xdr:row>3</xdr:row>
      <xdr:rowOff>159026</xdr:rowOff>
    </xdr:from>
    <xdr:to>
      <xdr:col>73</xdr:col>
      <xdr:colOff>662353</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5376280" y="1139687"/>
          <a:ext cx="2095220" cy="1800000"/>
        </a:xfrm>
        <a:prstGeom prst="rect">
          <a:avLst/>
        </a:prstGeom>
      </xdr:spPr>
    </xdr:pic>
    <xdr:clientData/>
  </xdr:twoCellAnchor>
  <xdr:twoCellAnchor>
    <xdr:from>
      <xdr:col>12</xdr:col>
      <xdr:colOff>64943</xdr:colOff>
      <xdr:row>57</xdr:row>
      <xdr:rowOff>161924</xdr:rowOff>
    </xdr:from>
    <xdr:to>
      <xdr:col>39</xdr:col>
      <xdr:colOff>824345</xdr:colOff>
      <xdr:row>73</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75</xdr:row>
      <xdr:rowOff>0</xdr:rowOff>
    </xdr:from>
    <xdr:to>
      <xdr:col>42</xdr:col>
      <xdr:colOff>542925</xdr:colOff>
      <xdr:row>90</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575654</xdr:colOff>
      <xdr:row>77</xdr:row>
      <xdr:rowOff>46240</xdr:rowOff>
    </xdr:from>
    <xdr:to>
      <xdr:col>14</xdr:col>
      <xdr:colOff>807720</xdr:colOff>
      <xdr:row>88</xdr:row>
      <xdr:rowOff>112050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5208614" y="14188960"/>
          <a:ext cx="2182786" cy="207749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73</xdr:col>
      <xdr:colOff>747485</xdr:colOff>
      <xdr:row>3</xdr:row>
      <xdr:rowOff>180975</xdr:rowOff>
    </xdr:from>
    <xdr:to>
      <xdr:col>78</xdr:col>
      <xdr:colOff>71706</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7556633" y="1161636"/>
          <a:ext cx="3233613" cy="1800000"/>
        </a:xfrm>
        <a:prstGeom prst="rect">
          <a:avLst/>
        </a:prstGeom>
      </xdr:spPr>
    </xdr:pic>
    <xdr:clientData/>
  </xdr:twoCellAnchor>
  <xdr:twoCellAnchor editAs="oneCell">
    <xdr:from>
      <xdr:col>78</xdr:col>
      <xdr:colOff>217004</xdr:colOff>
      <xdr:row>4</xdr:row>
      <xdr:rowOff>2214</xdr:rowOff>
    </xdr:from>
    <xdr:to>
      <xdr:col>82</xdr:col>
      <xdr:colOff>586004</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0935543" y="1175031"/>
          <a:ext cx="3496512" cy="1800000"/>
        </a:xfrm>
        <a:prstGeom prst="rect">
          <a:avLst/>
        </a:prstGeom>
      </xdr:spPr>
    </xdr:pic>
    <xdr:clientData/>
  </xdr:twoCellAnchor>
  <xdr:twoCellAnchor editAs="oneCell">
    <xdr:from>
      <xdr:col>68</xdr:col>
      <xdr:colOff>28614</xdr:colOff>
      <xdr:row>14</xdr:row>
      <xdr:rowOff>124390</xdr:rowOff>
    </xdr:from>
    <xdr:to>
      <xdr:col>72</xdr:col>
      <xdr:colOff>160351</xdr:colOff>
      <xdr:row>20</xdr:row>
      <xdr:rowOff>167034</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2928371" y="3218773"/>
          <a:ext cx="3259250" cy="1800000"/>
        </a:xfrm>
        <a:prstGeom prst="rect">
          <a:avLst/>
        </a:prstGeom>
      </xdr:spPr>
    </xdr:pic>
    <xdr:clientData/>
  </xdr:twoCellAnchor>
  <xdr:twoCellAnchor editAs="oneCell">
    <xdr:from>
      <xdr:col>82</xdr:col>
      <xdr:colOff>644541</xdr:colOff>
      <xdr:row>4</xdr:row>
      <xdr:rowOff>14760</xdr:rowOff>
    </xdr:from>
    <xdr:to>
      <xdr:col>86</xdr:col>
      <xdr:colOff>487750</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34490593" y="1187577"/>
          <a:ext cx="2970723" cy="1800000"/>
        </a:xfrm>
        <a:prstGeom prst="rect">
          <a:avLst/>
        </a:prstGeom>
      </xdr:spPr>
    </xdr:pic>
    <xdr:clientData/>
  </xdr:twoCellAnchor>
  <xdr:twoCellAnchor editAs="oneCell">
    <xdr:from>
      <xdr:col>83</xdr:col>
      <xdr:colOff>413531</xdr:colOff>
      <xdr:row>6</xdr:row>
      <xdr:rowOff>21084</xdr:rowOff>
    </xdr:from>
    <xdr:to>
      <xdr:col>87</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35041461" y="1578214"/>
          <a:ext cx="3261820" cy="1800000"/>
        </a:xfrm>
        <a:prstGeom prst="rect">
          <a:avLst/>
        </a:prstGeom>
      </xdr:spPr>
    </xdr:pic>
    <xdr:clientData/>
  </xdr:twoCellAnchor>
  <xdr:twoCellAnchor editAs="oneCell">
    <xdr:from>
      <xdr:col>72</xdr:col>
      <xdr:colOff>331303</xdr:colOff>
      <xdr:row>14</xdr:row>
      <xdr:rowOff>133016</xdr:rowOff>
    </xdr:from>
    <xdr:to>
      <xdr:col>75</xdr:col>
      <xdr:colOff>432482</xdr:colOff>
      <xdr:row>20</xdr:row>
      <xdr:rowOff>175660</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6358573" y="3227399"/>
          <a:ext cx="2446813" cy="1800000"/>
        </a:xfrm>
        <a:prstGeom prst="rect">
          <a:avLst/>
        </a:prstGeom>
      </xdr:spPr>
    </xdr:pic>
    <xdr:clientData/>
  </xdr:twoCellAnchor>
  <xdr:twoCellAnchor editAs="oneCell">
    <xdr:from>
      <xdr:col>76</xdr:col>
      <xdr:colOff>1</xdr:colOff>
      <xdr:row>15</xdr:row>
      <xdr:rowOff>0</xdr:rowOff>
    </xdr:from>
    <xdr:to>
      <xdr:col>79</xdr:col>
      <xdr:colOff>731136</xdr:colOff>
      <xdr:row>22</xdr:row>
      <xdr:rowOff>186868</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32186881" y="3268980"/>
          <a:ext cx="3085715" cy="2160000"/>
        </a:xfrm>
        <a:prstGeom prst="rect">
          <a:avLst/>
        </a:prstGeom>
      </xdr:spPr>
    </xdr:pic>
    <xdr:clientData/>
  </xdr:twoCellAnchor>
  <xdr:twoCellAnchor editAs="oneCell">
    <xdr:from>
      <xdr:col>80</xdr:col>
      <xdr:colOff>0</xdr:colOff>
      <xdr:row>15</xdr:row>
      <xdr:rowOff>0</xdr:rowOff>
    </xdr:from>
    <xdr:to>
      <xdr:col>85</xdr:col>
      <xdr:colOff>646</xdr:colOff>
      <xdr:row>22</xdr:row>
      <xdr:rowOff>186868</xdr:rowOff>
    </xdr:to>
    <xdr:pic>
      <xdr:nvPicPr>
        <xdr:cNvPr id="16" name="Imagen 15">
          <a:extLst>
            <a:ext uri="{FF2B5EF4-FFF2-40B4-BE49-F238E27FC236}">
              <a16:creationId xmlns:a16="http://schemas.microsoft.com/office/drawing/2014/main" id="{8CE228DB-8F3C-4D42-8D5B-9FD62CE30F6C}"/>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32369760" y="3268980"/>
          <a:ext cx="3921136" cy="2160000"/>
        </a:xfrm>
        <a:prstGeom prst="rect">
          <a:avLst/>
        </a:prstGeom>
      </xdr:spPr>
    </xdr:pic>
    <xdr:clientData/>
  </xdr:twoCellAnchor>
  <xdr:twoCellAnchor editAs="oneCell">
    <xdr:from>
      <xdr:col>85</xdr:col>
      <xdr:colOff>0</xdr:colOff>
      <xdr:row>16</xdr:row>
      <xdr:rowOff>0</xdr:rowOff>
    </xdr:from>
    <xdr:to>
      <xdr:col>88</xdr:col>
      <xdr:colOff>35616</xdr:colOff>
      <xdr:row>22</xdr:row>
      <xdr:rowOff>108808</xdr:rowOff>
    </xdr:to>
    <xdr:pic>
      <xdr:nvPicPr>
        <xdr:cNvPr id="15" name="Imagen 14">
          <a:extLst>
            <a:ext uri="{FF2B5EF4-FFF2-40B4-BE49-F238E27FC236}">
              <a16:creationId xmlns:a16="http://schemas.microsoft.com/office/drawing/2014/main" id="{48234554-8B41-4F34-ADC8-9CFDDAF93F9D}"/>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30304740" y="3550920"/>
          <a:ext cx="2390196" cy="1800000"/>
        </a:xfrm>
        <a:prstGeom prst="rect">
          <a:avLst/>
        </a:prstGeom>
      </xdr:spPr>
    </xdr:pic>
    <xdr:clientData/>
  </xdr:twoCellAnchor>
  <xdr:twoCellAnchor editAs="oneCell">
    <xdr:from>
      <xdr:col>88</xdr:col>
      <xdr:colOff>1</xdr:colOff>
      <xdr:row>4</xdr:row>
      <xdr:rowOff>0</xdr:rowOff>
    </xdr:from>
    <xdr:to>
      <xdr:col>91</xdr:col>
      <xdr:colOff>556787</xdr:colOff>
      <xdr:row>15</xdr:row>
      <xdr:rowOff>89152</xdr:rowOff>
    </xdr:to>
    <xdr:pic>
      <xdr:nvPicPr>
        <xdr:cNvPr id="17" name="Imagen 16">
          <a:extLst>
            <a:ext uri="{FF2B5EF4-FFF2-40B4-BE49-F238E27FC236}">
              <a16:creationId xmlns:a16="http://schemas.microsoft.com/office/drawing/2014/main" id="{F21FF46C-B6AD-4CF6-B2D5-3C336A0BCCCA}"/>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39346095" y="1174376"/>
          <a:ext cx="2923469" cy="2160000"/>
        </a:xfrm>
        <a:prstGeom prst="rect">
          <a:avLst/>
        </a:prstGeom>
      </xdr:spPr>
    </xdr:pic>
    <xdr:clientData/>
  </xdr:twoCellAnchor>
  <xdr:twoCellAnchor editAs="oneCell">
    <xdr:from>
      <xdr:col>88</xdr:col>
      <xdr:colOff>0</xdr:colOff>
      <xdr:row>16</xdr:row>
      <xdr:rowOff>0</xdr:rowOff>
    </xdr:from>
    <xdr:to>
      <xdr:col>91</xdr:col>
      <xdr:colOff>502023</xdr:colOff>
      <xdr:row>22</xdr:row>
      <xdr:rowOff>114635</xdr:rowOff>
    </xdr:to>
    <xdr:pic>
      <xdr:nvPicPr>
        <xdr:cNvPr id="20" name="Imagen 19">
          <a:extLst>
            <a:ext uri="{FF2B5EF4-FFF2-40B4-BE49-F238E27FC236}">
              <a16:creationId xmlns:a16="http://schemas.microsoft.com/office/drawing/2014/main" id="{F27916B7-213C-4CFE-BBE1-AB2AB89445C6}"/>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48884541" y="3523129"/>
          <a:ext cx="2868706" cy="1800000"/>
        </a:xfrm>
        <a:prstGeom prst="rect">
          <a:avLst/>
        </a:prstGeom>
      </xdr:spPr>
    </xdr:pic>
    <xdr:clientData/>
  </xdr:twoCellAnchor>
  <xdr:twoCellAnchor editAs="oneCell">
    <xdr:from>
      <xdr:col>92</xdr:col>
      <xdr:colOff>1</xdr:colOff>
      <xdr:row>4</xdr:row>
      <xdr:rowOff>0</xdr:rowOff>
    </xdr:from>
    <xdr:to>
      <xdr:col>95</xdr:col>
      <xdr:colOff>663388</xdr:colOff>
      <xdr:row>15</xdr:row>
      <xdr:rowOff>93116</xdr:rowOff>
    </xdr:to>
    <xdr:pic>
      <xdr:nvPicPr>
        <xdr:cNvPr id="21" name="Imagen 20">
          <a:extLst>
            <a:ext uri="{FF2B5EF4-FFF2-40B4-BE49-F238E27FC236}">
              <a16:creationId xmlns:a16="http://schemas.microsoft.com/office/drawing/2014/main" id="{70186AE1-C67D-4FFB-8882-C496BCADC25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46634401" y="1174376"/>
          <a:ext cx="3030070" cy="2163964"/>
        </a:xfrm>
        <a:prstGeom prst="rect">
          <a:avLst/>
        </a:prstGeom>
      </xdr:spPr>
    </xdr:pic>
    <xdr:clientData/>
  </xdr:twoCellAnchor>
  <xdr:twoCellAnchor editAs="oneCell">
    <xdr:from>
      <xdr:col>91</xdr:col>
      <xdr:colOff>781272</xdr:colOff>
      <xdr:row>16</xdr:row>
      <xdr:rowOff>0</xdr:rowOff>
    </xdr:from>
    <xdr:to>
      <xdr:col>95</xdr:col>
      <xdr:colOff>566389</xdr:colOff>
      <xdr:row>23</xdr:row>
      <xdr:rowOff>159127</xdr:rowOff>
    </xdr:to>
    <xdr:pic>
      <xdr:nvPicPr>
        <xdr:cNvPr id="22" name="Imagen 21">
          <a:extLst>
            <a:ext uri="{FF2B5EF4-FFF2-40B4-BE49-F238E27FC236}">
              <a16:creationId xmlns:a16="http://schemas.microsoft.com/office/drawing/2014/main" id="{2EF137D4-75C3-4C49-8C5D-3429EBE32587}"/>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47594966" y="3523129"/>
          <a:ext cx="2940694" cy="1944000"/>
        </a:xfrm>
        <a:prstGeom prst="rect">
          <a:avLst/>
        </a:prstGeom>
      </xdr:spPr>
    </xdr:pic>
    <xdr:clientData/>
  </xdr:twoCellAnchor>
  <xdr:twoCellAnchor editAs="oneCell">
    <xdr:from>
      <xdr:col>96</xdr:col>
      <xdr:colOff>0</xdr:colOff>
      <xdr:row>4</xdr:row>
      <xdr:rowOff>0</xdr:rowOff>
    </xdr:from>
    <xdr:to>
      <xdr:col>99</xdr:col>
      <xdr:colOff>519532</xdr:colOff>
      <xdr:row>15</xdr:row>
      <xdr:rowOff>64500</xdr:rowOff>
    </xdr:to>
    <xdr:pic>
      <xdr:nvPicPr>
        <xdr:cNvPr id="23" name="Imagen 22">
          <a:extLst>
            <a:ext uri="{FF2B5EF4-FFF2-40B4-BE49-F238E27FC236}">
              <a16:creationId xmlns:a16="http://schemas.microsoft.com/office/drawing/2014/main" id="{3A88E5AD-AE50-4641-AB04-67161950733F}"/>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0558700" y="1173480"/>
          <a:ext cx="2874112" cy="2160000"/>
        </a:xfrm>
        <a:prstGeom prst="rect">
          <a:avLst/>
        </a:prstGeom>
      </xdr:spPr>
    </xdr:pic>
    <xdr:clientData/>
  </xdr:twoCellAnchor>
  <xdr:twoCellAnchor editAs="oneCell">
    <xdr:from>
      <xdr:col>96</xdr:col>
      <xdr:colOff>0</xdr:colOff>
      <xdr:row>16</xdr:row>
      <xdr:rowOff>0</xdr:rowOff>
    </xdr:from>
    <xdr:to>
      <xdr:col>99</xdr:col>
      <xdr:colOff>460239</xdr:colOff>
      <xdr:row>24</xdr:row>
      <xdr:rowOff>57420</xdr:rowOff>
    </xdr:to>
    <xdr:pic>
      <xdr:nvPicPr>
        <xdr:cNvPr id="24" name="Imagen 23">
          <a:extLst>
            <a:ext uri="{FF2B5EF4-FFF2-40B4-BE49-F238E27FC236}">
              <a16:creationId xmlns:a16="http://schemas.microsoft.com/office/drawing/2014/main" id="{E9EB9B5E-F8C1-E8B8-4D22-184D87438BFB}"/>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51236880" y="3543300"/>
          <a:ext cx="2814819" cy="2412000"/>
        </a:xfrm>
        <a:prstGeom prst="rect">
          <a:avLst/>
        </a:prstGeom>
      </xdr:spPr>
    </xdr:pic>
    <xdr:clientData/>
  </xdr:twoCellAnchor>
  <xdr:twoCellAnchor editAs="oneCell">
    <xdr:from>
      <xdr:col>100</xdr:col>
      <xdr:colOff>0</xdr:colOff>
      <xdr:row>4</xdr:row>
      <xdr:rowOff>0</xdr:rowOff>
    </xdr:from>
    <xdr:to>
      <xdr:col>103</xdr:col>
      <xdr:colOff>572430</xdr:colOff>
      <xdr:row>15</xdr:row>
      <xdr:rowOff>64500</xdr:rowOff>
    </xdr:to>
    <xdr:pic>
      <xdr:nvPicPr>
        <xdr:cNvPr id="25" name="Imagen 24">
          <a:extLst>
            <a:ext uri="{FF2B5EF4-FFF2-40B4-BE49-F238E27FC236}">
              <a16:creationId xmlns:a16="http://schemas.microsoft.com/office/drawing/2014/main" id="{4BB5F9C2-F380-7CB8-239A-AEEBE686FA60}"/>
            </a:ext>
          </a:extLst>
        </xdr:cNvPr>
        <xdr:cNvPicPr>
          <a:picLocks noChangeAspect="1"/>
        </xdr:cNvPicPr>
      </xdr:nvPicPr>
      <xdr:blipFill>
        <a:blip xmlns:r="http://schemas.openxmlformats.org/officeDocument/2006/relationships" r:embed="rId22"/>
        <a:stretch>
          <a:fillRect/>
        </a:stretch>
      </xdr:blipFill>
      <xdr:spPr>
        <a:xfrm>
          <a:off x="52844700" y="1173480"/>
          <a:ext cx="2927010" cy="2160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8</xdr:col>
      <xdr:colOff>53340</xdr:colOff>
      <xdr:row>3</xdr:row>
      <xdr:rowOff>346710</xdr:rowOff>
    </xdr:from>
    <xdr:to>
      <xdr:col>15</xdr:col>
      <xdr:colOff>579120</xdr:colOff>
      <xdr:row>20</xdr:row>
      <xdr:rowOff>45720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11</xdr:col>
      <xdr:colOff>50800</xdr:colOff>
      <xdr:row>16</xdr:row>
      <xdr:rowOff>108371</xdr:rowOff>
    </xdr:from>
    <xdr:to>
      <xdr:col>13</xdr:col>
      <xdr:colOff>702733</xdr:colOff>
      <xdr:row>19</xdr:row>
      <xdr:rowOff>143932</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10109200" y="3545838"/>
          <a:ext cx="2548466" cy="7128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15</xdr:col>
      <xdr:colOff>177800</xdr:colOff>
      <xdr:row>0</xdr:row>
      <xdr:rowOff>152399</xdr:rowOff>
    </xdr:from>
    <xdr:to>
      <xdr:col>22</xdr:col>
      <xdr:colOff>694267</xdr:colOff>
      <xdr:row>15</xdr:row>
      <xdr:rowOff>152400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643466</xdr:colOff>
      <xdr:row>16</xdr:row>
      <xdr:rowOff>1</xdr:rowOff>
    </xdr:from>
    <xdr:to>
      <xdr:col>23</xdr:col>
      <xdr:colOff>237066</xdr:colOff>
      <xdr:row>31</xdr:row>
      <xdr:rowOff>67734</xdr:rowOff>
    </xdr:to>
    <xdr:graphicFrame macro="">
      <xdr:nvGraphicFramePr>
        <xdr:cNvPr id="2" name="Gráfico 1">
          <a:extLst>
            <a:ext uri="{FF2B5EF4-FFF2-40B4-BE49-F238E27FC236}">
              <a16:creationId xmlns:a16="http://schemas.microsoft.com/office/drawing/2014/main" id="{82CF0D5D-9A09-8557-273C-B5A95E4960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33.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16</xdr:col>
      <xdr:colOff>324971</xdr:colOff>
      <xdr:row>4</xdr:row>
      <xdr:rowOff>57151</xdr:rowOff>
    </xdr:from>
    <xdr:to>
      <xdr:col>28</xdr:col>
      <xdr:colOff>44823</xdr:colOff>
      <xdr:row>27</xdr:row>
      <xdr:rowOff>44825</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32</xdr:row>
      <xdr:rowOff>67235</xdr:rowOff>
    </xdr:from>
    <xdr:to>
      <xdr:col>13</xdr:col>
      <xdr:colOff>905435</xdr:colOff>
      <xdr:row>48</xdr:row>
      <xdr:rowOff>125506</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29</xdr:col>
      <xdr:colOff>0</xdr:colOff>
      <xdr:row>2</xdr:row>
      <xdr:rowOff>33618</xdr:rowOff>
    </xdr:from>
    <xdr:to>
      <xdr:col>38</xdr:col>
      <xdr:colOff>470087</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c:userShapes xmlns:c="http://schemas.openxmlformats.org/drawingml/2006/chart">
  <cdr:relSizeAnchor xmlns:cdr="http://schemas.openxmlformats.org/drawingml/2006/chartDrawing">
    <cdr:from>
      <cdr:x>0.67455</cdr:x>
      <cdr:y>0.1143</cdr:y>
    </cdr:from>
    <cdr:to>
      <cdr:x>0.98232</cdr:x>
      <cdr:y>0.51138</cdr:y>
    </cdr:to>
    <cdr:sp macro="" textlink="">
      <cdr:nvSpPr>
        <cdr:cNvPr id="2" name="2 CuadroTexto"/>
        <cdr:cNvSpPr txBox="1"/>
      </cdr:nvSpPr>
      <cdr:spPr>
        <a:xfrm xmlns:a="http://schemas.openxmlformats.org/drawingml/2006/main">
          <a:off x="6196809" y="478135"/>
          <a:ext cx="2827354" cy="166106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(e).- 108 millones</a:t>
          </a:r>
        </a:p>
        <a:p xmlns:a="http://schemas.openxmlformats.org/drawingml/2006/main">
          <a:r>
            <a:rPr lang="es-EC" sz="900" baseline="0">
              <a:solidFill>
                <a:schemeClr val="dk1"/>
              </a:solidFill>
              <a:latin typeface="+mn-lt"/>
              <a:ea typeface="+mn-ea"/>
              <a:cs typeface="+mn-cs"/>
            </a:rPr>
            <a:t>2021 (e).- 159 millones</a:t>
          </a:r>
        </a:p>
        <a:p xmlns:a="http://schemas.openxmlformats.org/drawingml/2006/main">
          <a:r>
            <a:rPr lang="es-EC" sz="900" baseline="0">
              <a:solidFill>
                <a:schemeClr val="dk1"/>
              </a:solidFill>
              <a:latin typeface="+mn-lt"/>
              <a:ea typeface="+mn-ea"/>
              <a:cs typeface="+mn-cs"/>
            </a:rPr>
            <a:t>2022 (e).- 259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317</xdr:col>
      <xdr:colOff>112222</xdr:colOff>
      <xdr:row>6</xdr:row>
      <xdr:rowOff>177799</xdr:rowOff>
    </xdr:from>
    <xdr:to>
      <xdr:col>321</xdr:col>
      <xdr:colOff>276046</xdr:colOff>
      <xdr:row>16</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0379689" y="2616199"/>
          <a:ext cx="3313424" cy="2582428"/>
        </a:xfrm>
        <a:prstGeom prst="rect">
          <a:avLst/>
        </a:prstGeom>
      </xdr:spPr>
    </xdr:pic>
    <xdr:clientData/>
  </xdr:twoCellAnchor>
  <xdr:twoCellAnchor>
    <xdr:from>
      <xdr:col>299</xdr:col>
      <xdr:colOff>707572</xdr:colOff>
      <xdr:row>6</xdr:row>
      <xdr:rowOff>48026</xdr:rowOff>
    </xdr:from>
    <xdr:to>
      <xdr:col>314</xdr:col>
      <xdr:colOff>239486</xdr:colOff>
      <xdr:row>30</xdr:row>
      <xdr:rowOff>163286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272</xdr:col>
      <xdr:colOff>128358</xdr:colOff>
      <xdr:row>54</xdr:row>
      <xdr:rowOff>38713</xdr:rowOff>
    </xdr:from>
    <xdr:to>
      <xdr:col>298</xdr:col>
      <xdr:colOff>186627</xdr:colOff>
      <xdr:row>69</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200</xdr:col>
      <xdr:colOff>457200</xdr:colOff>
      <xdr:row>49</xdr:row>
      <xdr:rowOff>96982</xdr:rowOff>
    </xdr:from>
    <xdr:to>
      <xdr:col>218</xdr:col>
      <xdr:colOff>138546</xdr:colOff>
      <xdr:row>78</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298</xdr:col>
      <xdr:colOff>872144</xdr:colOff>
      <xdr:row>49</xdr:row>
      <xdr:rowOff>58190</xdr:rowOff>
    </xdr:from>
    <xdr:to>
      <xdr:col>313</xdr:col>
      <xdr:colOff>536171</xdr:colOff>
      <xdr:row>81</xdr:row>
      <xdr:rowOff>102524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321</xdr:col>
      <xdr:colOff>631372</xdr:colOff>
      <xdr:row>8</xdr:row>
      <xdr:rowOff>163285</xdr:rowOff>
    </xdr:from>
    <xdr:to>
      <xdr:col>326</xdr:col>
      <xdr:colOff>564348</xdr:colOff>
      <xdr:row>16</xdr:row>
      <xdr:rowOff>113485</xdr:rowOff>
    </xdr:to>
    <xdr:pic>
      <xdr:nvPicPr>
        <xdr:cNvPr id="6" name="Imagen 5">
          <a:extLst>
            <a:ext uri="{FF2B5EF4-FFF2-40B4-BE49-F238E27FC236}">
              <a16:creationId xmlns:a16="http://schemas.microsoft.com/office/drawing/2014/main" id="{50E88D74-A61C-426C-99E5-0E808B8CACA9}"/>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5375629" y="1523999"/>
          <a:ext cx="3851833" cy="2160000"/>
        </a:xfrm>
        <a:prstGeom prst="rect">
          <a:avLst/>
        </a:prstGeom>
      </xdr:spPr>
    </xdr:pic>
    <xdr:clientData/>
  </xdr:twoCellAnchor>
  <xdr:twoCellAnchor>
    <xdr:from>
      <xdr:col>317</xdr:col>
      <xdr:colOff>65314</xdr:colOff>
      <xdr:row>19</xdr:row>
      <xdr:rowOff>239484</xdr:rowOff>
    </xdr:from>
    <xdr:to>
      <xdr:col>324</xdr:col>
      <xdr:colOff>32656</xdr:colOff>
      <xdr:row>34</xdr:row>
      <xdr:rowOff>174171</xdr:rowOff>
    </xdr:to>
    <xdr:grpSp>
      <xdr:nvGrpSpPr>
        <xdr:cNvPr id="8" name="Grupo 7">
          <a:extLst>
            <a:ext uri="{FF2B5EF4-FFF2-40B4-BE49-F238E27FC236}">
              <a16:creationId xmlns:a16="http://schemas.microsoft.com/office/drawing/2014/main" id="{CBBFF8E4-2536-42A0-8E33-6D0E808E2F5C}"/>
            </a:ext>
          </a:extLst>
        </xdr:cNvPr>
        <xdr:cNvGrpSpPr/>
      </xdr:nvGrpSpPr>
      <xdr:grpSpPr>
        <a:xfrm>
          <a:off x="40222714" y="4898570"/>
          <a:ext cx="5453742" cy="4016830"/>
          <a:chOff x="548640" y="41715"/>
          <a:chExt cx="11418582" cy="6602648"/>
        </a:xfrm>
      </xdr:grpSpPr>
      <xdr:pic>
        <xdr:nvPicPr>
          <xdr:cNvPr id="9" name="Imagen 8" descr="Gráfico&#10;&#10;Descripción generada automáticamente">
            <a:extLst>
              <a:ext uri="{FF2B5EF4-FFF2-40B4-BE49-F238E27FC236}">
                <a16:creationId xmlns:a16="http://schemas.microsoft.com/office/drawing/2014/main" id="{F064F3F4-9DC9-467D-A8D4-C0C533F6FCE5}"/>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01727" y="1269000"/>
            <a:ext cx="5029211" cy="4320000"/>
          </a:xfrm>
          <a:prstGeom prst="rect">
            <a:avLst/>
          </a:prstGeom>
        </xdr:spPr>
      </xdr:pic>
      <xdr:pic>
        <xdr:nvPicPr>
          <xdr:cNvPr id="11" name="Imagen 10" descr="Gráfico&#10;&#10;Descripción generada automáticamente">
            <a:extLst>
              <a:ext uri="{FF2B5EF4-FFF2-40B4-BE49-F238E27FC236}">
                <a16:creationId xmlns:a16="http://schemas.microsoft.com/office/drawing/2014/main" id="{BE02B21D-9518-47DC-B584-4EF6736EB64A}"/>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6644639" y="1474958"/>
            <a:ext cx="5322583" cy="4320000"/>
          </a:xfrm>
          <a:prstGeom prst="rect">
            <a:avLst/>
          </a:prstGeom>
        </xdr:spPr>
      </xdr:pic>
      <xdr:sp macro="" textlink="">
        <xdr:nvSpPr>
          <xdr:cNvPr id="12" name="CuadroTexto 6">
            <a:extLst>
              <a:ext uri="{FF2B5EF4-FFF2-40B4-BE49-F238E27FC236}">
                <a16:creationId xmlns:a16="http://schemas.microsoft.com/office/drawing/2014/main" id="{9E6B2D7F-674F-4078-8F7D-C119F5AEC4AD}"/>
              </a:ext>
            </a:extLst>
          </xdr:cNvPr>
          <xdr:cNvSpPr txBox="1"/>
        </xdr:nvSpPr>
        <xdr:spPr>
          <a:xfrm>
            <a:off x="548640" y="6182698"/>
            <a:ext cx="6096000" cy="461665"/>
          </a:xfrm>
          <a:prstGeom prst="rect">
            <a:avLst/>
          </a:prstGeom>
          <a:noFill/>
        </xdr:spPr>
        <xdr:txBody>
          <a:bodyPr wrap="square">
            <a:spAutoFit/>
          </a:bodyPr>
          <a:lstStyle>
            <a:defPPr>
              <a:defRPr lang="es-EC"/>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C" sz="800"/>
              <a:t>Fuente: HostelTur.- https://www.hosteltur.com/150684_decalogo-para-la-cadena-de-valor-turistica-ante-la-guerra-en-ucrania.html?code=home-page%7b2022-03-24%7d&amp;utm_source=newsletter-es&amp;utm_medium=email&amp;utm_campaign=decalogo-para-la-cadena-de-valor-turistica-ante-la-guerra-en-ucrania-hosteltur-24-03-2022&amp;utm_term=20220324&amp;utm_content=noticia-destacada-2</a:t>
            </a:r>
          </a:p>
        </xdr:txBody>
      </xdr:sp>
      <xdr:sp macro="" textlink="">
        <xdr:nvSpPr>
          <xdr:cNvPr id="13" name="CuadroTexto 9">
            <a:extLst>
              <a:ext uri="{FF2B5EF4-FFF2-40B4-BE49-F238E27FC236}">
                <a16:creationId xmlns:a16="http://schemas.microsoft.com/office/drawing/2014/main" id="{CAB24551-631A-47F5-8BE9-B8278B0C1B83}"/>
              </a:ext>
            </a:extLst>
          </xdr:cNvPr>
          <xdr:cNvSpPr txBox="1"/>
        </xdr:nvSpPr>
        <xdr:spPr>
          <a:xfrm>
            <a:off x="1902798" y="41715"/>
            <a:ext cx="8386403" cy="3499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spAutoFit/>
          </a:bodyPr>
          <a:lstStyle>
            <a:defPPr>
              <a:defRPr lang="es-EC"/>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eaLnBrk="1" hangingPunct="1">
              <a:lnSpc>
                <a:spcPct val="93000"/>
              </a:lnSpc>
              <a:spcBef>
                <a:spcPct val="0"/>
              </a:spcBef>
              <a:buClrTx/>
              <a:buFontTx/>
              <a:buNone/>
            </a:pPr>
            <a:r>
              <a:rPr lang="es-MX" altLang="es-EC" sz="1800" b="1">
                <a:solidFill>
                  <a:schemeClr val="bg1"/>
                </a:solidFill>
                <a:latin typeface="Gotham Bold" panose="02000504050000020004" pitchFamily="2" charset="0"/>
                <a:cs typeface="+mn-cs"/>
              </a:rPr>
              <a:t>Llegadas de turistas internacionales, 2000-2021 en el Mundo </a:t>
            </a:r>
          </a:p>
        </xdr:txBody>
      </xdr:sp>
      <xdr:sp macro="" textlink="">
        <xdr:nvSpPr>
          <xdr:cNvPr id="15" name="CuadroTexto 7">
            <a:extLst>
              <a:ext uri="{FF2B5EF4-FFF2-40B4-BE49-F238E27FC236}">
                <a16:creationId xmlns:a16="http://schemas.microsoft.com/office/drawing/2014/main" id="{E04D5DCE-5A8F-4867-B203-E012D66F3E47}"/>
              </a:ext>
            </a:extLst>
          </xdr:cNvPr>
          <xdr:cNvSpPr txBox="1"/>
        </xdr:nvSpPr>
        <xdr:spPr>
          <a:xfrm>
            <a:off x="4611331" y="826472"/>
            <a:ext cx="2231921" cy="924154"/>
          </a:xfrm>
          <a:prstGeom prst="rect">
            <a:avLst/>
          </a:prstGeom>
          <a:noFill/>
        </xdr:spPr>
        <xdr:txBody>
          <a:bodyPr wrap="square">
            <a:spAutoFit/>
          </a:bodyPr>
          <a:lstStyle>
            <a:defPPr>
              <a:defRPr lang="es-EC"/>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altLang="es-EC" sz="1100">
                <a:latin typeface="Arial" panose="020B0604020202020204" pitchFamily="34" charset="0"/>
                <a:cs typeface="Arial" panose="020B0604020202020204" pitchFamily="34" charset="0"/>
              </a:rPr>
              <a:t>En el Mundo </a:t>
            </a:r>
            <a:endParaRPr lang="es-EC" sz="1100">
              <a:latin typeface="Arial" panose="020B0604020202020204" pitchFamily="34" charset="0"/>
              <a:cs typeface="Arial" panose="020B0604020202020204" pitchFamily="34" charset="0"/>
            </a:endParaRPr>
          </a:p>
        </xdr:txBody>
      </xdr:sp>
    </xdr:grpSp>
    <xdr:clientData/>
  </xdr:twoCellAnchor>
  <xdr:twoCellAnchor editAs="oneCell">
    <xdr:from>
      <xdr:col>325</xdr:col>
      <xdr:colOff>0</xdr:colOff>
      <xdr:row>20</xdr:row>
      <xdr:rowOff>0</xdr:rowOff>
    </xdr:from>
    <xdr:to>
      <xdr:col>328</xdr:col>
      <xdr:colOff>528685</xdr:colOff>
      <xdr:row>26</xdr:row>
      <xdr:rowOff>130009</xdr:rowOff>
    </xdr:to>
    <xdr:pic>
      <xdr:nvPicPr>
        <xdr:cNvPr id="2" name="Imagen 1">
          <a:extLst>
            <a:ext uri="{FF2B5EF4-FFF2-40B4-BE49-F238E27FC236}">
              <a16:creationId xmlns:a16="http://schemas.microsoft.com/office/drawing/2014/main" id="{5A7490B2-B776-F6F7-0A7A-DA470009DE86}"/>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44391943" y="4931229"/>
          <a:ext cx="2880000" cy="1762866"/>
        </a:xfrm>
        <a:prstGeom prst="rect">
          <a:avLst/>
        </a:prstGeom>
      </xdr:spPr>
    </xdr:pic>
    <xdr:clientData/>
  </xdr:twoCellAnchor>
</xdr:wsDr>
</file>

<file path=xl/drawings/drawing40.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41.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106680</xdr:colOff>
      <xdr:row>247</xdr:row>
      <xdr:rowOff>68580</xdr:rowOff>
    </xdr:from>
    <xdr:to>
      <xdr:col>17</xdr:col>
      <xdr:colOff>7620</xdr:colOff>
      <xdr:row>269</xdr:row>
      <xdr:rowOff>129540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6385560" y="9433560"/>
          <a:ext cx="7932420" cy="426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r>
            <a:rPr lang="es-EC" sz="900" baseline="0">
              <a:solidFill>
                <a:schemeClr val="dk1"/>
              </a:solidFill>
              <a:effectLst/>
              <a:latin typeface="+mn-lt"/>
              <a:ea typeface="+mn-ea"/>
              <a:cs typeface="+mn-cs"/>
            </a:rPr>
            <a:t>- En 2021 hubo   1´153.666 arribos de pasajeros al AMS, es decir un +54 % que en 2020.</a:t>
          </a:r>
        </a:p>
        <a:p>
          <a:pPr rtl="0" fontAlgn="base"/>
          <a:endParaRPr lang="es-EC" sz="900" baseline="0">
            <a:solidFill>
              <a:schemeClr val="dk1"/>
            </a:solidFill>
            <a:effectLst/>
            <a:latin typeface="+mn-lt"/>
            <a:ea typeface="+mn-ea"/>
            <a:cs typeface="+mn-cs"/>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2022</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mayo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mayo </a:t>
          </a:r>
          <a:r>
            <a:rPr lang="es-EC" sz="900" baseline="0">
              <a:solidFill>
                <a:schemeClr val="dk1"/>
              </a:solidFill>
              <a:effectLst/>
              <a:latin typeface="+mn-lt"/>
              <a:ea typeface="+mn-ea"/>
              <a:cs typeface="+mn-cs"/>
            </a:rPr>
            <a:t>de 2022 se evidencia una diferencia de un </a:t>
          </a:r>
          <a:r>
            <a:rPr lang="es-EC" sz="900" b="1" u="sng" baseline="0">
              <a:solidFill>
                <a:schemeClr val="dk1"/>
              </a:solidFill>
              <a:effectLst/>
              <a:latin typeface="+mn-lt"/>
              <a:ea typeface="+mn-ea"/>
              <a:cs typeface="+mn-cs"/>
            </a:rPr>
            <a:t>+169,06 %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+ 101,99 %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+ 250,82 %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mayo </a:t>
          </a:r>
          <a:r>
            <a:rPr lang="es-EC" sz="900" b="0" baseline="0">
              <a:solidFill>
                <a:schemeClr val="dk1"/>
              </a:solidFill>
              <a:effectLst/>
              <a:latin typeface="+mn-lt"/>
              <a:ea typeface="+mn-ea"/>
              <a:cs typeface="+mn-cs"/>
            </a:rPr>
            <a:t>de 2022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+ 126,52%   </a:t>
          </a:r>
          <a:r>
            <a:rPr lang="es-EC" sz="900" baseline="0">
              <a:solidFill>
                <a:schemeClr val="dk1"/>
              </a:solidFill>
              <a:effectLst/>
              <a:latin typeface="+mn-lt"/>
              <a:ea typeface="+mn-ea"/>
              <a:cs typeface="+mn-cs"/>
            </a:rPr>
            <a:t>respecto al mismo periodo en 2021.</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 320.875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mayo </a:t>
          </a:r>
          <a:r>
            <a:rPr lang="es-EC" sz="900" b="0" baseline="0">
              <a:solidFill>
                <a:schemeClr val="dk1"/>
              </a:solidFill>
              <a:effectLst/>
              <a:latin typeface="+mn-lt"/>
              <a:ea typeface="+mn-ea"/>
              <a:cs typeface="+mn-cs"/>
            </a:rPr>
            <a:t>de 2022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+ 202,04%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 439.718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mayo </a:t>
          </a:r>
          <a:r>
            <a:rPr lang="es-EC" sz="900" b="0" baseline="0">
              <a:solidFill>
                <a:schemeClr val="dk1"/>
              </a:solidFill>
              <a:effectLst/>
              <a:latin typeface="+mn-lt"/>
              <a:ea typeface="+mn-ea"/>
              <a:cs typeface="+mn-cs"/>
            </a:rPr>
            <a:t>de 2022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 760.593</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+164,80 %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baseline="0">
              <a:solidFill>
                <a:srgbClr val="FF0000"/>
              </a:solidFill>
              <a:effectLst/>
              <a:latin typeface="+mn-lt"/>
              <a:ea typeface="+mn-ea"/>
              <a:cs typeface="+mn-cs"/>
            </a:rPr>
            <a:t>(</a:t>
          </a:r>
          <a:r>
            <a:rPr lang="es-EC" sz="900" u="sng" baseline="0">
              <a:solidFill>
                <a:srgbClr val="FF0000"/>
              </a:solidFill>
              <a:effectLst/>
              <a:latin typeface="+mn-lt"/>
              <a:ea typeface="+mn-ea"/>
              <a:cs typeface="+mn-cs"/>
            </a:rPr>
            <a:t>-25,1)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270</xdr:row>
      <xdr:rowOff>126850</xdr:rowOff>
    </xdr:from>
    <xdr:to>
      <xdr:col>25</xdr:col>
      <xdr:colOff>396240</xdr:colOff>
      <xdr:row>289</xdr:row>
      <xdr:rowOff>83820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507850</xdr:colOff>
      <xdr:row>290</xdr:row>
      <xdr:rowOff>18378</xdr:rowOff>
    </xdr:from>
    <xdr:to>
      <xdr:col>25</xdr:col>
      <xdr:colOff>82026</xdr:colOff>
      <xdr:row>307</xdr:row>
      <xdr:rowOff>61878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271</xdr:row>
      <xdr:rowOff>69925</xdr:rowOff>
    </xdr:from>
    <xdr:to>
      <xdr:col>15</xdr:col>
      <xdr:colOff>343797</xdr:colOff>
      <xdr:row>301</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303</xdr:row>
      <xdr:rowOff>14287</xdr:rowOff>
    </xdr:from>
    <xdr:to>
      <xdr:col>15</xdr:col>
      <xdr:colOff>342900</xdr:colOff>
      <xdr:row>322</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323</xdr:row>
      <xdr:rowOff>28575</xdr:rowOff>
    </xdr:from>
    <xdr:to>
      <xdr:col>15</xdr:col>
      <xdr:colOff>342900</xdr:colOff>
      <xdr:row>342</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550544</xdr:colOff>
      <xdr:row>312</xdr:row>
      <xdr:rowOff>7621</xdr:rowOff>
    </xdr:from>
    <xdr:to>
      <xdr:col>25</xdr:col>
      <xdr:colOff>106680</xdr:colOff>
      <xdr:row>334</xdr:row>
      <xdr:rowOff>99061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342</xdr:row>
      <xdr:rowOff>0</xdr:rowOff>
    </xdr:from>
    <xdr:to>
      <xdr:col>25</xdr:col>
      <xdr:colOff>280036</xdr:colOff>
      <xdr:row>364</xdr:row>
      <xdr:rowOff>91440</xdr:rowOff>
    </xdr:to>
    <xdr:graphicFrame macro="">
      <xdr:nvGraphicFramePr>
        <xdr:cNvPr id="9" name="Gráfico 8">
          <a:extLst>
            <a:ext uri="{FF2B5EF4-FFF2-40B4-BE49-F238E27FC236}">
              <a16:creationId xmlns:a16="http://schemas.microsoft.com/office/drawing/2014/main" id="{66CA9F27-1869-448D-9363-B94EBC642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51.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5.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7.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7"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342899</xdr:colOff>
      <xdr:row>3</xdr:row>
      <xdr:rowOff>156103</xdr:rowOff>
    </xdr:from>
    <xdr:to>
      <xdr:col>23</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352425</xdr:colOff>
      <xdr:row>11</xdr:row>
      <xdr:rowOff>175433</xdr:rowOff>
    </xdr:from>
    <xdr:to>
      <xdr:col>23</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350745</xdr:colOff>
      <xdr:row>20</xdr:row>
      <xdr:rowOff>108510</xdr:rowOff>
    </xdr:from>
    <xdr:to>
      <xdr:col>23</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60961</xdr:colOff>
      <xdr:row>13</xdr:row>
      <xdr:rowOff>137160</xdr:rowOff>
    </xdr:from>
    <xdr:to>
      <xdr:col>7</xdr:col>
      <xdr:colOff>22860</xdr:colOff>
      <xdr:row>33</xdr:row>
      <xdr:rowOff>22860</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ESTADISTICAS%20CORONAVIRUS%20MAR2020/1%20QT-coronavirus/0%20Impacto%20Econ&#243;mico%20a%20sector%20perdidas/QT-afectaci&#243;n_Ventas_2021-vr.03mayo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VARIA"/>
    </sheetNames>
    <sheetDataSet>
      <sheetData sheetId="0">
        <row r="61">
          <cell r="KS61">
            <v>2153806752.3199997</v>
          </cell>
          <cell r="LE61">
            <v>1073327355.6799998</v>
          </cell>
          <cell r="LQ61">
            <v>1513741068.8</v>
          </cell>
          <cell r="MC61">
            <v>1546664940.3133333</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29:E48" totalsRowShown="0" headerRowDxfId="27" dataDxfId="26">
  <tableColumns count="4">
    <tableColumn id="1" xr3:uid="{00000000-0010-0000-0000-000001000000}" name="tipo" dataDxfId="25"/>
    <tableColumn id="2" xr3:uid="{00000000-0010-0000-0000-000002000000}" name="N° Establecimientos" dataDxfId="24"/>
    <tableColumn id="3" xr3:uid="{00000000-0010-0000-0000-000003000000}" name="No. Habitaciones" dataDxfId="23"/>
    <tableColumn id="4" xr3:uid="{00000000-0010-0000-0000-000004000000}" name="No. Plazas" dataDxfId="2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308D80-907B-4CD4-A7A9-3EBB728107D0}" name="Tabla353" displayName="Tabla353" ref="B4:E24" totalsRowShown="0" headerRowDxfId="21" dataDxfId="20">
  <tableColumns count="4">
    <tableColumn id="1" xr3:uid="{2C8EE76F-B99D-4A95-9C76-12324386D6A3}" name="tipo" dataDxfId="19"/>
    <tableColumn id="2" xr3:uid="{AEBF2B3E-E3B1-4307-A706-6F5E654DA616}" name="N° Establecimientos" dataDxfId="18"/>
    <tableColumn id="3" xr3:uid="{373BBF3E-9B04-43A7-BF45-B1703912D39D}" name="No. Habitaciones" dataDxfId="17"/>
    <tableColumn id="4" xr3:uid="{BE8EC83B-B9E2-42A8-A0DB-0F4D00F84194}" name="No. Plazas" dataDxfId="16"/>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26:D42" totalsRowShown="0" headerRowDxfId="15" dataDxfId="13" headerRowBorderDxfId="14" tableBorderDxfId="12" totalsRowBorderDxfId="11">
  <autoFilter ref="B26:D42" xr:uid="{00000000-0009-0000-0100-000003000000}"/>
  <tableColumns count="3">
    <tableColumn id="1" xr3:uid="{00000000-0010-0000-0100-000001000000}" name="Sector Turístico Geográfico" dataDxfId="10"/>
    <tableColumn id="2" xr3:uid="{00000000-0010-0000-0100-000002000000}" name="No. Plaza" dataDxfId="9"/>
    <tableColumn id="3" xr3:uid="{00000000-0010-0000-0100-000003000000}" name="No. Habitaciones" dataDxfId="8"/>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D60934-303D-40B0-B643-D215D6494A08}" name="Tabla446" displayName="Tabla446" ref="B4:D20" totalsRowShown="0" headerRowDxfId="7" dataDxfId="5" headerRowBorderDxfId="6" tableBorderDxfId="4" totalsRowBorderDxfId="3">
  <autoFilter ref="B4:D20" xr:uid="{FAD60934-303D-40B0-B643-D215D6494A08}"/>
  <tableColumns count="3">
    <tableColumn id="1" xr3:uid="{42CFB7CE-7689-4C82-A164-68253DD3B372}" name="Sector Turístico Geográfico" dataDxfId="2"/>
    <tableColumn id="2" xr3:uid="{FA09729D-A8E0-4704-829E-320A7CBA114B}" name="No. Plaza" dataDxfId="1"/>
    <tableColumn id="3" xr3:uid="{A470833E-A9D7-452C-9B2A-700D4A6AD116}" name="No. Habitaciones" dataDxfId="0"/>
  </tableColumns>
  <tableStyleInfo name="TableStyleLight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1-10-20T21:08:30.80" personId="{FBE32726-5AA9-47DA-90DC-619B885EB2C0}" id="{75C3A838-7564-434D-9364-ADCA23801E18}">
    <text>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ext>
  </threadedComment>
  <threadedComment ref="J48" dT="2021-10-20T21:17:17.18" personId="{FBE32726-5AA9-47DA-90DC-619B885EB2C0}" id="{0AACFA5F-D76D-4DBC-9A95-192A363E6723}">
    <text>https://servicios.turismo.gob.ec/entradas-y-salidas-internacionales    oct2021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JS38" dT="2021-06-21T21:43:19.73" personId="{FBE32726-5AA9-47DA-90DC-619B885EB2C0}" id="{E8AE7E18-A75C-4A28-AF34-A6020F016E63}">
    <text>Arrastrar los otros meses</text>
  </threadedComment>
</ThreadedComments>
</file>

<file path=xl/threadedComments/threadedComment4.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threadedComments/threadedComment5.xml><?xml version="1.0" encoding="utf-8"?>
<ThreadedComments xmlns="http://schemas.microsoft.com/office/spreadsheetml/2018/threadedcomments" xmlns:x="http://schemas.openxmlformats.org/spreadsheetml/2006/main">
  <threadedComment ref="Y11" dT="2022-02-09T14:04:23.56" personId="{FBE32726-5AA9-47DA-90DC-619B885EB2C0}" id="{0ED6B3C3-973C-4DCF-9072-6EAAE18B2440}">
    <text>D:\RESPALDOS RBANDA\000 PLANIFICACION\Estadisticas y Datos\01B Boletines Feriados\Feriados 2020\1. Carnaval 2020   (Datos Carnaval 2020.xlsx)</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iccaworld.org/"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 Id="rId4" Type="http://schemas.microsoft.com/office/2017/10/relationships/threadedComment" Target="../threadedComments/threadedComment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8.bin"/><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easprotegidas.ambiente.gob.ec/en/info-snap" TargetMode="External"/><Relationship Id="rId7" Type="http://schemas.openxmlformats.org/officeDocument/2006/relationships/hyperlink" Target="https://servicios.turismo.gob.ec/visualizador-economico" TargetMode="External"/><Relationship Id="rId12" Type="http://schemas.microsoft.com/office/2017/10/relationships/threadedComment" Target="../threadedComments/threadedComment1.xml"/><Relationship Id="rId2" Type="http://schemas.openxmlformats.org/officeDocument/2006/relationships/hyperlink" Target="https://servicios.turismo.gob.ec/visualizador-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areasprotegidas.ambiente.gob.ec/en/info-snap" TargetMode="External"/><Relationship Id="rId11" Type="http://schemas.openxmlformats.org/officeDocument/2006/relationships/comments" Target="../comments1.xml"/><Relationship Id="rId5" Type="http://schemas.openxmlformats.org/officeDocument/2006/relationships/hyperlink" Target="https://contenido.bce.fin.ec/documentos/Estadisticas/SectorReal/CuentasCantonales/Indice.htm" TargetMode="External"/><Relationship Id="rId10" Type="http://schemas.openxmlformats.org/officeDocument/2006/relationships/vmlDrawing" Target="../drawings/vmlDrawing1.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21.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4.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4.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hyperlink" Target="https://servicios.turismo.gob.ec/entradas-y-salidas-internacionale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34" Type="http://schemas.microsoft.com/office/2017/10/relationships/threadedComment" Target="../threadedComments/threadedComment2.xm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hyperlink" Target="https://servicios.turismo.gob.ec/entradas-y-salidas-internacionales" TargetMode="External"/><Relationship Id="rId33" Type="http://schemas.openxmlformats.org/officeDocument/2006/relationships/comments" Target="../comments2.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29" Type="http://schemas.openxmlformats.org/officeDocument/2006/relationships/hyperlink" Target="https://servicios.turismo.gob.ec/entradas-y-salidas-internacionale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hyperlink" Target="https://servicios.turismo.gob.ec/entradas-y-salidas-internacionales" TargetMode="External"/><Relationship Id="rId32" Type="http://schemas.openxmlformats.org/officeDocument/2006/relationships/vmlDrawing" Target="../drawings/vmlDrawing2.v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hyperlink" Target="https://servicios.turismo.gob.ec/entradas-y-salidas-internacionales" TargetMode="External"/><Relationship Id="rId28" Type="http://schemas.openxmlformats.org/officeDocument/2006/relationships/hyperlink" Target="https://servicios.turismo.gob.ec/entradas-y-salidas-internacionales" TargetMode="Externa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31" Type="http://schemas.openxmlformats.org/officeDocument/2006/relationships/drawing" Target="../drawings/drawing3.xm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openxmlformats.org/officeDocument/2006/relationships/hyperlink" Target="https://servicios.turismo.gob.ec/entradas-y-salidas-internacionales" TargetMode="External"/><Relationship Id="rId30" Type="http://schemas.openxmlformats.org/officeDocument/2006/relationships/printerSettings" Target="../printerSettings/printerSettings3.bin"/><Relationship Id="rId8" Type="http://schemas.openxmlformats.org/officeDocument/2006/relationships/hyperlink" Target="https://servicios.turismo.gob.ec/index.php/turismo-cifras/2018-09-19-17-01-51/movimientos-internacional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1.xml"/><Relationship Id="rId1" Type="http://schemas.openxmlformats.org/officeDocument/2006/relationships/printerSettings" Target="../printerSettings/printerSettings28.bin"/><Relationship Id="rId4" Type="http://schemas.openxmlformats.org/officeDocument/2006/relationships/comments" Target="../comments15.xml"/></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6.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6.vml"/><Relationship Id="rId5" Type="http://schemas.openxmlformats.org/officeDocument/2006/relationships/drawing" Target="../drawings/drawing22.xml"/><Relationship Id="rId4"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30.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30.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1.xml"/><Relationship Id="rId1" Type="http://schemas.openxmlformats.org/officeDocument/2006/relationships/printerSettings" Target="../printerSettings/printerSettings35.bin"/><Relationship Id="rId4" Type="http://schemas.openxmlformats.org/officeDocument/2006/relationships/comments" Target="../comments17.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4.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7.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137"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145" sqref="A145:XFD1048576"/>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8" customFormat="1">
      <c r="A1" s="2021"/>
      <c r="B1" s="1002"/>
      <c r="C1" s="1872"/>
      <c r="D1" s="1002"/>
      <c r="E1" s="1002"/>
      <c r="F1" s="1002"/>
      <c r="G1" s="1002"/>
      <c r="H1" s="1002"/>
      <c r="I1" s="1002"/>
      <c r="J1" s="1002"/>
      <c r="K1" s="1002"/>
      <c r="L1" s="1002"/>
      <c r="M1" s="1002"/>
      <c r="N1" s="1002"/>
      <c r="O1" s="1002"/>
      <c r="P1" s="1002"/>
      <c r="Q1" s="1002"/>
      <c r="R1" s="1002"/>
      <c r="S1" s="1002"/>
      <c r="T1" s="1002"/>
      <c r="U1" s="1002"/>
      <c r="V1" s="1002"/>
      <c r="W1" s="1002"/>
      <c r="X1" s="1002"/>
      <c r="Y1" s="1002"/>
    </row>
    <row r="2" spans="1:25" s="48" customFormat="1">
      <c r="A2" s="2021"/>
      <c r="B2" s="1904"/>
      <c r="C2" s="1878"/>
      <c r="D2" s="1018"/>
      <c r="E2" s="1018"/>
      <c r="F2" s="1018"/>
      <c r="G2" s="1018"/>
      <c r="H2" s="1018"/>
      <c r="I2" s="1018"/>
      <c r="J2" s="1018"/>
      <c r="K2" s="1018"/>
      <c r="L2" s="1018"/>
      <c r="M2" s="1018"/>
      <c r="N2" s="1018"/>
      <c r="O2" s="1018"/>
      <c r="P2" s="1018"/>
      <c r="Q2" s="1018"/>
      <c r="R2" s="1018"/>
      <c r="S2" s="1018"/>
      <c r="T2" s="1018"/>
      <c r="U2" s="1018"/>
      <c r="V2" s="1018"/>
      <c r="W2" s="1018"/>
      <c r="X2" s="1018"/>
      <c r="Y2" s="1018"/>
    </row>
    <row r="3" spans="1:25" s="48" customFormat="1">
      <c r="A3" s="2021"/>
      <c r="B3" s="1002"/>
      <c r="C3" s="1872"/>
      <c r="D3" s="1002"/>
      <c r="E3" s="1002"/>
      <c r="F3" s="1002"/>
      <c r="G3" s="1002"/>
      <c r="H3" s="1002"/>
      <c r="I3" s="1002"/>
      <c r="J3" s="1002"/>
      <c r="K3" s="1002"/>
      <c r="L3" s="1002"/>
      <c r="M3" s="1002"/>
      <c r="N3" s="1002"/>
      <c r="O3" s="1002"/>
      <c r="P3" s="1002"/>
      <c r="Q3" s="1002"/>
      <c r="R3" s="1002"/>
      <c r="S3" s="1002"/>
      <c r="T3" s="1002"/>
      <c r="U3" s="1002"/>
      <c r="V3" s="1002"/>
      <c r="W3" s="1002"/>
      <c r="X3" s="1002"/>
      <c r="Y3" s="1002"/>
    </row>
    <row r="4" spans="1:25" s="48" customFormat="1" ht="15" thickBot="1">
      <c r="A4" s="2021"/>
      <c r="B4" s="1904"/>
      <c r="C4" s="1872"/>
      <c r="D4" s="1002"/>
      <c r="E4" s="1002"/>
      <c r="F4" s="1002"/>
      <c r="G4" s="1002"/>
      <c r="H4" s="1002"/>
      <c r="I4" s="1002"/>
      <c r="J4" s="1002"/>
      <c r="K4" s="1002"/>
      <c r="L4" s="1002"/>
      <c r="M4" s="1002"/>
      <c r="N4" s="1002"/>
      <c r="O4" s="1002"/>
      <c r="P4" s="1002"/>
      <c r="Q4" s="1002"/>
      <c r="R4" s="1002"/>
      <c r="S4" s="1002"/>
      <c r="T4" s="1002"/>
      <c r="U4" s="1002"/>
      <c r="V4" s="1002"/>
      <c r="W4" s="1002"/>
      <c r="X4" s="1002"/>
      <c r="Y4" s="1002"/>
    </row>
    <row r="5" spans="1:25" s="804" customFormat="1" ht="15" thickBot="1">
      <c r="A5" s="2029" t="s">
        <v>1323</v>
      </c>
      <c r="B5" s="1939" t="s">
        <v>1307</v>
      </c>
      <c r="C5" s="1868" t="s">
        <v>1181</v>
      </c>
      <c r="D5" s="1868" t="s">
        <v>1142</v>
      </c>
      <c r="E5" s="1868" t="s">
        <v>1138</v>
      </c>
      <c r="F5" s="1868" t="s">
        <v>1147</v>
      </c>
      <c r="G5" s="1984" t="s">
        <v>1139</v>
      </c>
      <c r="H5" s="1989">
        <v>43678</v>
      </c>
      <c r="I5" s="1989">
        <v>43709</v>
      </c>
      <c r="J5" s="1989">
        <v>43739</v>
      </c>
      <c r="K5" s="1989">
        <v>43770</v>
      </c>
      <c r="L5" s="1989">
        <v>43800</v>
      </c>
      <c r="M5" s="1989">
        <v>43831</v>
      </c>
      <c r="N5" s="1989">
        <v>43862</v>
      </c>
      <c r="O5" s="1989">
        <v>43891</v>
      </c>
      <c r="P5" s="1989">
        <v>43922</v>
      </c>
      <c r="Q5" s="1989">
        <v>43952</v>
      </c>
      <c r="R5" s="1989">
        <v>43983</v>
      </c>
      <c r="S5" s="1989">
        <v>44013</v>
      </c>
      <c r="T5" s="1989">
        <v>44044</v>
      </c>
      <c r="U5" s="1989">
        <v>44075</v>
      </c>
      <c r="V5" s="1989">
        <v>44105</v>
      </c>
      <c r="W5" s="1989">
        <v>44136</v>
      </c>
      <c r="X5" s="1989">
        <v>44166</v>
      </c>
      <c r="Y5" s="1990">
        <v>44197</v>
      </c>
    </row>
    <row r="6" spans="1:25" s="48" customFormat="1">
      <c r="A6" s="2021" t="s">
        <v>1298</v>
      </c>
      <c r="B6" s="5122" t="s">
        <v>919</v>
      </c>
      <c r="C6" s="1965" t="s">
        <v>1141</v>
      </c>
      <c r="D6" s="1966" t="s">
        <v>1143</v>
      </c>
      <c r="E6" s="1966" t="s">
        <v>1140</v>
      </c>
      <c r="F6" s="1966"/>
      <c r="G6" s="1966" t="s">
        <v>1149</v>
      </c>
      <c r="H6" s="1991"/>
      <c r="I6" s="1991"/>
      <c r="J6" s="1991"/>
      <c r="K6" s="1991"/>
      <c r="L6" s="1991"/>
      <c r="M6" s="1991"/>
      <c r="N6" s="1991"/>
      <c r="O6" s="1991"/>
      <c r="P6" s="1991"/>
      <c r="Q6" s="1991"/>
      <c r="R6" s="1991"/>
      <c r="S6" s="1991"/>
      <c r="T6" s="1991"/>
      <c r="U6" s="1991"/>
      <c r="V6" s="1991"/>
      <c r="W6" s="1991"/>
      <c r="X6" s="1991"/>
      <c r="Y6" s="1991"/>
    </row>
    <row r="7" spans="1:25" s="48" customFormat="1">
      <c r="A7" s="2021" t="s">
        <v>1298</v>
      </c>
      <c r="B7" s="5123"/>
      <c r="C7" s="1962" t="s">
        <v>1144</v>
      </c>
      <c r="D7" s="1963" t="s">
        <v>1143</v>
      </c>
      <c r="E7" s="1963" t="s">
        <v>1140</v>
      </c>
      <c r="F7" s="1963"/>
      <c r="G7" s="1963" t="s">
        <v>1149</v>
      </c>
      <c r="H7" s="1992"/>
      <c r="I7" s="1992"/>
      <c r="J7" s="1992"/>
      <c r="K7" s="1992"/>
      <c r="L7" s="1992"/>
      <c r="M7" s="1992"/>
      <c r="N7" s="1992"/>
      <c r="O7" s="1992"/>
      <c r="P7" s="1992"/>
      <c r="Q7" s="1992"/>
      <c r="R7" s="1992"/>
      <c r="S7" s="1992"/>
      <c r="T7" s="1992"/>
      <c r="U7" s="1992"/>
      <c r="V7" s="1992"/>
      <c r="W7" s="1992"/>
      <c r="X7" s="1992"/>
      <c r="Y7" s="1992"/>
    </row>
    <row r="8" spans="1:25" s="48" customFormat="1">
      <c r="A8" s="2021" t="s">
        <v>1298</v>
      </c>
      <c r="B8" s="5123"/>
      <c r="C8" s="1962" t="s">
        <v>1148</v>
      </c>
      <c r="D8" s="1963" t="s">
        <v>33</v>
      </c>
      <c r="E8" s="1963" t="s">
        <v>1140</v>
      </c>
      <c r="F8" s="1963"/>
      <c r="G8" s="1963" t="s">
        <v>1149</v>
      </c>
      <c r="H8" s="1992"/>
      <c r="I8" s="1992"/>
      <c r="J8" s="1992"/>
      <c r="K8" s="1992"/>
      <c r="L8" s="1992"/>
      <c r="M8" s="1992"/>
      <c r="N8" s="1992"/>
      <c r="O8" s="1992"/>
      <c r="P8" s="1992"/>
      <c r="Q8" s="1992"/>
      <c r="R8" s="1992"/>
      <c r="S8" s="1992"/>
      <c r="T8" s="1992"/>
      <c r="U8" s="1992"/>
      <c r="V8" s="1992"/>
      <c r="W8" s="1992"/>
      <c r="X8" s="1992"/>
      <c r="Y8" s="1992"/>
    </row>
    <row r="9" spans="1:25" s="48" customFormat="1">
      <c r="A9" s="2021" t="s">
        <v>1298</v>
      </c>
      <c r="B9" s="2045" t="s">
        <v>915</v>
      </c>
      <c r="C9" s="1903" t="s">
        <v>994</v>
      </c>
      <c r="D9" s="1869" t="s">
        <v>597</v>
      </c>
      <c r="E9" s="1869" t="s">
        <v>1146</v>
      </c>
      <c r="F9" s="1869" t="s">
        <v>1168</v>
      </c>
      <c r="G9" s="1869" t="s">
        <v>1149</v>
      </c>
      <c r="H9" s="1993"/>
      <c r="I9" s="1993"/>
      <c r="J9" s="1993"/>
      <c r="K9" s="1993"/>
      <c r="L9" s="1993"/>
      <c r="M9" s="1993" t="s">
        <v>533</v>
      </c>
      <c r="N9" s="1993"/>
      <c r="O9" s="1993"/>
      <c r="P9" s="1993"/>
      <c r="Q9" s="1993"/>
      <c r="R9" s="1993"/>
      <c r="S9" s="1993"/>
      <c r="T9" s="1993"/>
      <c r="U9" s="1993"/>
      <c r="V9" s="1993"/>
      <c r="W9" s="1993"/>
      <c r="X9" s="1993"/>
      <c r="Y9" s="1993" t="s">
        <v>533</v>
      </c>
    </row>
    <row r="10" spans="1:25" s="48" customFormat="1">
      <c r="A10" s="2021" t="s">
        <v>1298</v>
      </c>
      <c r="B10" s="5126" t="s">
        <v>1173</v>
      </c>
      <c r="C10" s="1870" t="s">
        <v>1150</v>
      </c>
      <c r="D10" s="1930" t="s">
        <v>33</v>
      </c>
      <c r="E10" s="1930" t="s">
        <v>1146</v>
      </c>
      <c r="F10" s="5127" t="s">
        <v>1169</v>
      </c>
      <c r="G10" s="5127" t="s">
        <v>1149</v>
      </c>
      <c r="H10" s="5124"/>
      <c r="I10" s="5124"/>
      <c r="J10" s="5124"/>
      <c r="K10" s="5124"/>
      <c r="L10" s="5124"/>
      <c r="M10" s="5124"/>
      <c r="N10" s="5124"/>
      <c r="O10" s="5124" t="s">
        <v>533</v>
      </c>
      <c r="P10" s="5124"/>
      <c r="Q10" s="5124"/>
      <c r="R10" s="5124"/>
      <c r="S10" s="5124"/>
      <c r="T10" s="5124"/>
      <c r="U10" s="5124"/>
      <c r="V10" s="5124"/>
      <c r="W10" s="5124"/>
      <c r="X10" s="5124"/>
      <c r="Y10" s="5124"/>
    </row>
    <row r="11" spans="1:25" s="48" customFormat="1">
      <c r="A11" s="2021" t="s">
        <v>1298</v>
      </c>
      <c r="B11" s="5126"/>
      <c r="C11" s="1870" t="s">
        <v>1151</v>
      </c>
      <c r="D11" s="1930" t="s">
        <v>33</v>
      </c>
      <c r="E11" s="1930" t="s">
        <v>1146</v>
      </c>
      <c r="F11" s="5127"/>
      <c r="G11" s="5127"/>
      <c r="H11" s="5124"/>
      <c r="I11" s="5124"/>
      <c r="J11" s="5124"/>
      <c r="K11" s="5124"/>
      <c r="L11" s="5124"/>
      <c r="M11" s="5124"/>
      <c r="N11" s="5124"/>
      <c r="O11" s="5124" t="s">
        <v>533</v>
      </c>
      <c r="P11" s="5124"/>
      <c r="Q11" s="5124"/>
      <c r="R11" s="5124"/>
      <c r="S11" s="5124"/>
      <c r="T11" s="5124"/>
      <c r="U11" s="5124"/>
      <c r="V11" s="5124"/>
      <c r="W11" s="5124"/>
      <c r="X11" s="5124"/>
      <c r="Y11" s="5124"/>
    </row>
    <row r="12" spans="1:25" s="48" customFormat="1">
      <c r="A12" s="2021" t="s">
        <v>1298</v>
      </c>
      <c r="B12" s="5126"/>
      <c r="C12" s="1870" t="s">
        <v>1152</v>
      </c>
      <c r="D12" s="1930" t="s">
        <v>33</v>
      </c>
      <c r="E12" s="1930" t="s">
        <v>1146</v>
      </c>
      <c r="F12" s="5127"/>
      <c r="G12" s="5127"/>
      <c r="H12" s="5124"/>
      <c r="I12" s="5124"/>
      <c r="J12" s="5124"/>
      <c r="K12" s="5124"/>
      <c r="L12" s="5124"/>
      <c r="M12" s="5124"/>
      <c r="N12" s="5124"/>
      <c r="O12" s="5124" t="s">
        <v>533</v>
      </c>
      <c r="P12" s="5124"/>
      <c r="Q12" s="5124"/>
      <c r="R12" s="5124"/>
      <c r="S12" s="5124"/>
      <c r="T12" s="5124"/>
      <c r="U12" s="5124"/>
      <c r="V12" s="5124"/>
      <c r="W12" s="5124"/>
      <c r="X12" s="5124"/>
      <c r="Y12" s="5124"/>
    </row>
    <row r="13" spans="1:25" s="48" customFormat="1">
      <c r="A13" s="2021" t="s">
        <v>1298</v>
      </c>
      <c r="B13" s="5126"/>
      <c r="C13" s="1870" t="s">
        <v>1153</v>
      </c>
      <c r="D13" s="1930" t="s">
        <v>33</v>
      </c>
      <c r="E13" s="1930" t="s">
        <v>1146</v>
      </c>
      <c r="F13" s="5127"/>
      <c r="G13" s="5127"/>
      <c r="H13" s="5124"/>
      <c r="I13" s="5124"/>
      <c r="J13" s="5124"/>
      <c r="K13" s="5124"/>
      <c r="L13" s="5124"/>
      <c r="M13" s="5124"/>
      <c r="N13" s="5124"/>
      <c r="O13" s="5124" t="s">
        <v>533</v>
      </c>
      <c r="P13" s="5124"/>
      <c r="Q13" s="5124"/>
      <c r="R13" s="5124"/>
      <c r="S13" s="5124"/>
      <c r="T13" s="5124"/>
      <c r="U13" s="5124"/>
      <c r="V13" s="5124"/>
      <c r="W13" s="5124"/>
      <c r="X13" s="5124"/>
      <c r="Y13" s="5124"/>
    </row>
    <row r="14" spans="1:25" s="48" customFormat="1">
      <c r="A14" s="2021" t="s">
        <v>1298</v>
      </c>
      <c r="B14" s="5126"/>
      <c r="C14" s="1870" t="s">
        <v>1154</v>
      </c>
      <c r="D14" s="1930" t="s">
        <v>33</v>
      </c>
      <c r="E14" s="1930" t="s">
        <v>1146</v>
      </c>
      <c r="F14" s="5127"/>
      <c r="G14" s="5127"/>
      <c r="H14" s="5124"/>
      <c r="I14" s="5124"/>
      <c r="J14" s="5124"/>
      <c r="K14" s="5124"/>
      <c r="L14" s="5124"/>
      <c r="M14" s="5124"/>
      <c r="N14" s="5124"/>
      <c r="O14" s="5124" t="s">
        <v>533</v>
      </c>
      <c r="P14" s="5124"/>
      <c r="Q14" s="5124"/>
      <c r="R14" s="5124"/>
      <c r="S14" s="5124"/>
      <c r="T14" s="5124"/>
      <c r="U14" s="5124"/>
      <c r="V14" s="5124"/>
      <c r="W14" s="5124"/>
      <c r="X14" s="5124"/>
      <c r="Y14" s="5124"/>
    </row>
    <row r="15" spans="1:25" s="48" customFormat="1">
      <c r="A15" s="2021" t="s">
        <v>1298</v>
      </c>
      <c r="B15" s="5126"/>
      <c r="C15" s="1870" t="s">
        <v>1155</v>
      </c>
      <c r="D15" s="1930" t="s">
        <v>33</v>
      </c>
      <c r="E15" s="1930" t="s">
        <v>1146</v>
      </c>
      <c r="F15" s="5127"/>
      <c r="G15" s="5127"/>
      <c r="H15" s="5124"/>
      <c r="I15" s="5124"/>
      <c r="J15" s="5124"/>
      <c r="K15" s="5124"/>
      <c r="L15" s="5124"/>
      <c r="M15" s="5124"/>
      <c r="N15" s="5124"/>
      <c r="O15" s="5124" t="s">
        <v>533</v>
      </c>
      <c r="P15" s="5124"/>
      <c r="Q15" s="5124"/>
      <c r="R15" s="5124"/>
      <c r="S15" s="5124"/>
      <c r="T15" s="5124"/>
      <c r="U15" s="5124"/>
      <c r="V15" s="5124"/>
      <c r="W15" s="5124"/>
      <c r="X15" s="5124"/>
      <c r="Y15" s="5124"/>
    </row>
    <row r="16" spans="1:25" s="48" customFormat="1">
      <c r="A16" s="2021" t="s">
        <v>1298</v>
      </c>
      <c r="B16" s="5126"/>
      <c r="C16" s="1870" t="s">
        <v>1156</v>
      </c>
      <c r="D16" s="1930" t="s">
        <v>33</v>
      </c>
      <c r="E16" s="1930" t="s">
        <v>1146</v>
      </c>
      <c r="F16" s="5127"/>
      <c r="G16" s="5127"/>
      <c r="H16" s="5124"/>
      <c r="I16" s="5124"/>
      <c r="J16" s="5124"/>
      <c r="K16" s="5124"/>
      <c r="L16" s="5124"/>
      <c r="M16" s="5124"/>
      <c r="N16" s="5124"/>
      <c r="O16" s="5124" t="s">
        <v>533</v>
      </c>
      <c r="P16" s="5124"/>
      <c r="Q16" s="5124"/>
      <c r="R16" s="5124"/>
      <c r="S16" s="5124"/>
      <c r="T16" s="5124"/>
      <c r="U16" s="5124"/>
      <c r="V16" s="5124"/>
      <c r="W16" s="5124"/>
      <c r="X16" s="5124"/>
      <c r="Y16" s="5124"/>
    </row>
    <row r="17" spans="1:25" s="48" customFormat="1">
      <c r="A17" s="2021" t="s">
        <v>1298</v>
      </c>
      <c r="B17" s="5126"/>
      <c r="C17" s="1870" t="s">
        <v>1157</v>
      </c>
      <c r="D17" s="1930" t="s">
        <v>33</v>
      </c>
      <c r="E17" s="1930" t="s">
        <v>1146</v>
      </c>
      <c r="F17" s="5127"/>
      <c r="G17" s="5127"/>
      <c r="H17" s="5124"/>
      <c r="I17" s="5124"/>
      <c r="J17" s="5124"/>
      <c r="K17" s="5124"/>
      <c r="L17" s="5124"/>
      <c r="M17" s="5124"/>
      <c r="N17" s="5124"/>
      <c r="O17" s="5124" t="s">
        <v>533</v>
      </c>
      <c r="P17" s="5124"/>
      <c r="Q17" s="5124"/>
      <c r="R17" s="5124"/>
      <c r="S17" s="5124"/>
      <c r="T17" s="5124"/>
      <c r="U17" s="5124"/>
      <c r="V17" s="5124"/>
      <c r="W17" s="5124"/>
      <c r="X17" s="5124"/>
      <c r="Y17" s="5124"/>
    </row>
    <row r="18" spans="1:25" s="48" customFormat="1">
      <c r="A18" s="2021" t="s">
        <v>1298</v>
      </c>
      <c r="B18" s="5126"/>
      <c r="C18" s="1870" t="s">
        <v>1158</v>
      </c>
      <c r="D18" s="1930" t="s">
        <v>33</v>
      </c>
      <c r="E18" s="1930" t="s">
        <v>1146</v>
      </c>
      <c r="F18" s="5127"/>
      <c r="G18" s="5127"/>
      <c r="H18" s="5124"/>
      <c r="I18" s="5124"/>
      <c r="J18" s="5124"/>
      <c r="K18" s="5124"/>
      <c r="L18" s="5124"/>
      <c r="M18" s="5124"/>
      <c r="N18" s="5124"/>
      <c r="O18" s="5124" t="s">
        <v>533</v>
      </c>
      <c r="P18" s="5124"/>
      <c r="Q18" s="5124"/>
      <c r="R18" s="5124"/>
      <c r="S18" s="5124"/>
      <c r="T18" s="5124"/>
      <c r="U18" s="5124"/>
      <c r="V18" s="5124"/>
      <c r="W18" s="5124"/>
      <c r="X18" s="5124"/>
      <c r="Y18" s="5124"/>
    </row>
    <row r="19" spans="1:25" s="48" customFormat="1">
      <c r="A19" s="2021" t="s">
        <v>1298</v>
      </c>
      <c r="B19" s="5126"/>
      <c r="C19" s="1870" t="s">
        <v>1159</v>
      </c>
      <c r="D19" s="1930" t="s">
        <v>33</v>
      </c>
      <c r="E19" s="1930" t="s">
        <v>1146</v>
      </c>
      <c r="F19" s="5127"/>
      <c r="G19" s="5127"/>
      <c r="H19" s="5124"/>
      <c r="I19" s="5124"/>
      <c r="J19" s="5124"/>
      <c r="K19" s="5124"/>
      <c r="L19" s="5124"/>
      <c r="M19" s="5124"/>
      <c r="N19" s="5124"/>
      <c r="O19" s="5124" t="s">
        <v>533</v>
      </c>
      <c r="P19" s="5124"/>
      <c r="Q19" s="5124"/>
      <c r="R19" s="5124"/>
      <c r="S19" s="5124"/>
      <c r="T19" s="5124"/>
      <c r="U19" s="5124"/>
      <c r="V19" s="5124"/>
      <c r="W19" s="5124"/>
      <c r="X19" s="5124"/>
      <c r="Y19" s="5124"/>
    </row>
    <row r="20" spans="1:25" s="48" customFormat="1">
      <c r="A20" s="2021" t="s">
        <v>1298</v>
      </c>
      <c r="B20" s="5126"/>
      <c r="C20" s="1870" t="s">
        <v>1160</v>
      </c>
      <c r="D20" s="1930" t="s">
        <v>33</v>
      </c>
      <c r="E20" s="1930" t="s">
        <v>1146</v>
      </c>
      <c r="F20" s="5127"/>
      <c r="G20" s="5127"/>
      <c r="H20" s="5124"/>
      <c r="I20" s="5124"/>
      <c r="J20" s="5124"/>
      <c r="K20" s="5124"/>
      <c r="L20" s="5124"/>
      <c r="M20" s="5124"/>
      <c r="N20" s="5124"/>
      <c r="O20" s="5124" t="s">
        <v>533</v>
      </c>
      <c r="P20" s="5124"/>
      <c r="Q20" s="5124"/>
      <c r="R20" s="5124"/>
      <c r="S20" s="5124"/>
      <c r="T20" s="5124"/>
      <c r="U20" s="5124"/>
      <c r="V20" s="5124"/>
      <c r="W20" s="5124"/>
      <c r="X20" s="5124"/>
      <c r="Y20" s="5124"/>
    </row>
    <row r="21" spans="1:25" s="48" customFormat="1">
      <c r="A21" s="2021" t="s">
        <v>1298</v>
      </c>
      <c r="B21" s="5126"/>
      <c r="C21" s="1870" t="s">
        <v>1161</v>
      </c>
      <c r="D21" s="1930" t="s">
        <v>33</v>
      </c>
      <c r="E21" s="1930" t="s">
        <v>1146</v>
      </c>
      <c r="F21" s="5127"/>
      <c r="G21" s="5127"/>
      <c r="H21" s="5124"/>
      <c r="I21" s="5124"/>
      <c r="J21" s="5124"/>
      <c r="K21" s="5124"/>
      <c r="L21" s="5124"/>
      <c r="M21" s="5124"/>
      <c r="N21" s="5124"/>
      <c r="O21" s="5124" t="s">
        <v>533</v>
      </c>
      <c r="P21" s="5124"/>
      <c r="Q21" s="5124"/>
      <c r="R21" s="5124"/>
      <c r="S21" s="5124"/>
      <c r="T21" s="5124"/>
      <c r="U21" s="5124"/>
      <c r="V21" s="5124"/>
      <c r="W21" s="5124"/>
      <c r="X21" s="5124"/>
      <c r="Y21" s="5124"/>
    </row>
    <row r="22" spans="1:25" s="48" customFormat="1">
      <c r="A22" s="2021" t="s">
        <v>1298</v>
      </c>
      <c r="B22" s="5126"/>
      <c r="C22" s="1870" t="s">
        <v>1162</v>
      </c>
      <c r="D22" s="1930" t="s">
        <v>33</v>
      </c>
      <c r="E22" s="1930" t="s">
        <v>1146</v>
      </c>
      <c r="F22" s="5127"/>
      <c r="G22" s="5127"/>
      <c r="H22" s="5124"/>
      <c r="I22" s="5124"/>
      <c r="J22" s="5124"/>
      <c r="K22" s="5124"/>
      <c r="L22" s="5124"/>
      <c r="M22" s="5124"/>
      <c r="N22" s="5124"/>
      <c r="O22" s="5124" t="s">
        <v>533</v>
      </c>
      <c r="P22" s="5124"/>
      <c r="Q22" s="5124"/>
      <c r="R22" s="5124"/>
      <c r="S22" s="5124"/>
      <c r="T22" s="5124"/>
      <c r="U22" s="5124"/>
      <c r="V22" s="5124"/>
      <c r="W22" s="5124"/>
      <c r="X22" s="5124"/>
      <c r="Y22" s="5124"/>
    </row>
    <row r="23" spans="1:25" s="48" customFormat="1">
      <c r="A23" s="2021" t="s">
        <v>1298</v>
      </c>
      <c r="B23" s="2045" t="s">
        <v>997</v>
      </c>
      <c r="C23" s="1903" t="s">
        <v>1164</v>
      </c>
      <c r="D23" s="1869" t="s">
        <v>1163</v>
      </c>
      <c r="E23" s="1869" t="s">
        <v>1146</v>
      </c>
      <c r="F23" s="1869" t="s">
        <v>1167</v>
      </c>
      <c r="G23" s="1869" t="s">
        <v>1149</v>
      </c>
      <c r="H23" s="1993"/>
      <c r="I23" s="1993"/>
      <c r="J23" s="1993"/>
      <c r="K23" s="1993"/>
      <c r="L23" s="1993"/>
      <c r="M23" s="1993"/>
      <c r="N23" s="1993"/>
      <c r="O23" s="1993"/>
      <c r="P23" s="1993"/>
      <c r="Q23" s="1993"/>
      <c r="R23" s="1993" t="s">
        <v>533</v>
      </c>
      <c r="S23" s="1993"/>
      <c r="T23" s="1993"/>
      <c r="U23" s="1993"/>
      <c r="V23" s="1993"/>
      <c r="W23" s="1993"/>
      <c r="X23" s="1993"/>
      <c r="Y23" s="1993"/>
    </row>
    <row r="24" spans="1:25" s="48" customFormat="1">
      <c r="A24" s="2021" t="s">
        <v>1298</v>
      </c>
      <c r="B24" s="5123" t="s">
        <v>998</v>
      </c>
      <c r="C24" s="1962" t="s">
        <v>1165</v>
      </c>
      <c r="D24" s="1963" t="s">
        <v>1163</v>
      </c>
      <c r="E24" s="5129" t="s">
        <v>1146</v>
      </c>
      <c r="F24" s="5129" t="s">
        <v>1167</v>
      </c>
      <c r="G24" s="5129" t="s">
        <v>1149</v>
      </c>
      <c r="H24" s="5125"/>
      <c r="I24" s="5125"/>
      <c r="J24" s="5125"/>
      <c r="K24" s="5125"/>
      <c r="L24" s="5125"/>
      <c r="M24" s="5125"/>
      <c r="N24" s="5125"/>
      <c r="O24" s="5125"/>
      <c r="P24" s="5125"/>
      <c r="Q24" s="5125"/>
      <c r="R24" s="5125" t="s">
        <v>533</v>
      </c>
      <c r="S24" s="5125"/>
      <c r="T24" s="5125"/>
      <c r="U24" s="5125"/>
      <c r="V24" s="5125"/>
      <c r="W24" s="5125"/>
      <c r="X24" s="5125"/>
      <c r="Y24" s="5125"/>
    </row>
    <row r="25" spans="1:25" s="48" customFormat="1">
      <c r="A25" s="2021" t="s">
        <v>1298</v>
      </c>
      <c r="B25" s="5123"/>
      <c r="C25" s="1962" t="s">
        <v>1166</v>
      </c>
      <c r="D25" s="1964" t="s">
        <v>33</v>
      </c>
      <c r="E25" s="5129"/>
      <c r="F25" s="5129"/>
      <c r="G25" s="5129"/>
      <c r="H25" s="5125"/>
      <c r="I25" s="5125"/>
      <c r="J25" s="5125"/>
      <c r="K25" s="5125"/>
      <c r="L25" s="5125"/>
      <c r="M25" s="5125"/>
      <c r="N25" s="5125"/>
      <c r="O25" s="5125"/>
      <c r="P25" s="5125"/>
      <c r="Q25" s="5125"/>
      <c r="R25" s="5125" t="s">
        <v>533</v>
      </c>
      <c r="S25" s="5125"/>
      <c r="T25" s="5125"/>
      <c r="U25" s="5125"/>
      <c r="V25" s="5125"/>
      <c r="W25" s="5125"/>
      <c r="X25" s="5125"/>
      <c r="Y25" s="5125"/>
    </row>
    <row r="26" spans="1:25" s="48" customFormat="1">
      <c r="A26" s="2044" t="s">
        <v>1291</v>
      </c>
      <c r="B26" s="5131" t="s">
        <v>916</v>
      </c>
      <c r="C26" s="1903" t="s">
        <v>1182</v>
      </c>
      <c r="D26" s="1869" t="s">
        <v>597</v>
      </c>
      <c r="E26" s="5130" t="s">
        <v>1146</v>
      </c>
      <c r="F26" s="5130" t="s">
        <v>1168</v>
      </c>
      <c r="G26" s="5130" t="s">
        <v>1174</v>
      </c>
      <c r="H26" s="5128"/>
      <c r="I26" s="5128"/>
      <c r="J26" s="5128"/>
      <c r="K26" s="5128"/>
      <c r="L26" s="5128"/>
      <c r="M26" s="5128" t="s">
        <v>533</v>
      </c>
      <c r="N26" s="5128"/>
      <c r="O26" s="5128"/>
      <c r="P26" s="5128"/>
      <c r="Q26" s="5128"/>
      <c r="R26" s="5128"/>
      <c r="S26" s="5128"/>
      <c r="T26" s="5128"/>
      <c r="U26" s="5128"/>
      <c r="V26" s="5128"/>
      <c r="W26" s="5128"/>
      <c r="X26" s="5128"/>
      <c r="Y26" s="5128" t="s">
        <v>533</v>
      </c>
    </row>
    <row r="27" spans="1:25" s="48" customFormat="1">
      <c r="A27" s="2044" t="s">
        <v>1291</v>
      </c>
      <c r="B27" s="5131"/>
      <c r="C27" s="1903" t="s">
        <v>465</v>
      </c>
      <c r="D27" s="1869" t="s">
        <v>597</v>
      </c>
      <c r="E27" s="5130"/>
      <c r="F27" s="5130"/>
      <c r="G27" s="5130"/>
      <c r="H27" s="5128"/>
      <c r="I27" s="5128"/>
      <c r="J27" s="5128"/>
      <c r="K27" s="5128"/>
      <c r="L27" s="5128"/>
      <c r="M27" s="5128" t="s">
        <v>533</v>
      </c>
      <c r="N27" s="5128"/>
      <c r="O27" s="5128"/>
      <c r="P27" s="5128"/>
      <c r="Q27" s="5128"/>
      <c r="R27" s="5128"/>
      <c r="S27" s="5128"/>
      <c r="T27" s="5128"/>
      <c r="U27" s="5128"/>
      <c r="V27" s="5128"/>
      <c r="W27" s="5128"/>
      <c r="X27" s="5128"/>
      <c r="Y27" s="5128" t="s">
        <v>533</v>
      </c>
    </row>
    <row r="28" spans="1:25" s="48" customFormat="1">
      <c r="A28" s="2044" t="s">
        <v>1291</v>
      </c>
      <c r="B28" s="5131"/>
      <c r="C28" s="1903" t="s">
        <v>466</v>
      </c>
      <c r="D28" s="1869" t="s">
        <v>597</v>
      </c>
      <c r="E28" s="5130"/>
      <c r="F28" s="5130"/>
      <c r="G28" s="5130"/>
      <c r="H28" s="5128"/>
      <c r="I28" s="5128"/>
      <c r="J28" s="5128"/>
      <c r="K28" s="5128"/>
      <c r="L28" s="5128"/>
      <c r="M28" s="5128" t="s">
        <v>533</v>
      </c>
      <c r="N28" s="5128"/>
      <c r="O28" s="5128"/>
      <c r="P28" s="5128"/>
      <c r="Q28" s="5128"/>
      <c r="R28" s="5128"/>
      <c r="S28" s="5128"/>
      <c r="T28" s="5128"/>
      <c r="U28" s="5128"/>
      <c r="V28" s="5128"/>
      <c r="W28" s="5128"/>
      <c r="X28" s="5128"/>
      <c r="Y28" s="5128" t="s">
        <v>533</v>
      </c>
    </row>
    <row r="29" spans="1:25" s="48" customFormat="1">
      <c r="A29" s="2044" t="s">
        <v>1291</v>
      </c>
      <c r="B29" s="5131"/>
      <c r="C29" s="1256" t="s">
        <v>1175</v>
      </c>
      <c r="D29" s="1869" t="s">
        <v>597</v>
      </c>
      <c r="E29" s="5130"/>
      <c r="F29" s="5130"/>
      <c r="G29" s="5130"/>
      <c r="H29" s="5128"/>
      <c r="I29" s="5128"/>
      <c r="J29" s="5128"/>
      <c r="K29" s="5128"/>
      <c r="L29" s="5128"/>
      <c r="M29" s="5128" t="s">
        <v>533</v>
      </c>
      <c r="N29" s="5128"/>
      <c r="O29" s="5128"/>
      <c r="P29" s="5128"/>
      <c r="Q29" s="5128"/>
      <c r="R29" s="5128"/>
      <c r="S29" s="5128"/>
      <c r="T29" s="5128"/>
      <c r="U29" s="5128"/>
      <c r="V29" s="5128"/>
      <c r="W29" s="5128"/>
      <c r="X29" s="5128"/>
      <c r="Y29" s="5128" t="s">
        <v>533</v>
      </c>
    </row>
    <row r="30" spans="1:25" s="48" customFormat="1">
      <c r="A30" s="2044" t="s">
        <v>1291</v>
      </c>
      <c r="B30" s="5131"/>
      <c r="C30" s="1903" t="s">
        <v>465</v>
      </c>
      <c r="D30" s="1869" t="s">
        <v>597</v>
      </c>
      <c r="E30" s="5130"/>
      <c r="F30" s="5130"/>
      <c r="G30" s="5130"/>
      <c r="H30" s="5128"/>
      <c r="I30" s="5128"/>
      <c r="J30" s="5128"/>
      <c r="K30" s="5128"/>
      <c r="L30" s="5128"/>
      <c r="M30" s="5128" t="s">
        <v>533</v>
      </c>
      <c r="N30" s="5128"/>
      <c r="O30" s="5128"/>
      <c r="P30" s="5128"/>
      <c r="Q30" s="5128"/>
      <c r="R30" s="5128"/>
      <c r="S30" s="5128"/>
      <c r="T30" s="5128"/>
      <c r="U30" s="5128"/>
      <c r="V30" s="5128"/>
      <c r="W30" s="5128"/>
      <c r="X30" s="5128"/>
      <c r="Y30" s="5128" t="s">
        <v>533</v>
      </c>
    </row>
    <row r="31" spans="1:25" s="48" customFormat="1">
      <c r="A31" s="2044" t="s">
        <v>1291</v>
      </c>
      <c r="B31" s="5131"/>
      <c r="C31" s="1903" t="s">
        <v>466</v>
      </c>
      <c r="D31" s="1869" t="s">
        <v>597</v>
      </c>
      <c r="E31" s="5130"/>
      <c r="F31" s="5130"/>
      <c r="G31" s="5130"/>
      <c r="H31" s="5128"/>
      <c r="I31" s="5128"/>
      <c r="J31" s="5128"/>
      <c r="K31" s="5128"/>
      <c r="L31" s="5128"/>
      <c r="M31" s="5128" t="s">
        <v>533</v>
      </c>
      <c r="N31" s="5128"/>
      <c r="O31" s="5128"/>
      <c r="P31" s="5128"/>
      <c r="Q31" s="5128"/>
      <c r="R31" s="5128"/>
      <c r="S31" s="5128"/>
      <c r="T31" s="5128"/>
      <c r="U31" s="5128"/>
      <c r="V31" s="5128"/>
      <c r="W31" s="5128"/>
      <c r="X31" s="5128"/>
      <c r="Y31" s="5128" t="s">
        <v>533</v>
      </c>
    </row>
    <row r="32" spans="1:25" s="48" customFormat="1">
      <c r="A32" s="2044" t="s">
        <v>1291</v>
      </c>
      <c r="B32" s="5131"/>
      <c r="C32" s="1256" t="s">
        <v>1176</v>
      </c>
      <c r="D32" s="1869" t="s">
        <v>597</v>
      </c>
      <c r="E32" s="5130"/>
      <c r="F32" s="5130"/>
      <c r="G32" s="5130"/>
      <c r="H32" s="5128"/>
      <c r="I32" s="5128"/>
      <c r="J32" s="5128"/>
      <c r="K32" s="5128"/>
      <c r="L32" s="5128"/>
      <c r="M32" s="5128" t="s">
        <v>533</v>
      </c>
      <c r="N32" s="5128"/>
      <c r="O32" s="5128"/>
      <c r="P32" s="5128"/>
      <c r="Q32" s="5128"/>
      <c r="R32" s="5128"/>
      <c r="S32" s="5128"/>
      <c r="T32" s="5128"/>
      <c r="U32" s="5128"/>
      <c r="V32" s="5128"/>
      <c r="W32" s="5128"/>
      <c r="X32" s="5128"/>
      <c r="Y32" s="5128" t="s">
        <v>533</v>
      </c>
    </row>
    <row r="33" spans="1:25" s="48" customFormat="1">
      <c r="A33" s="2044" t="s">
        <v>1291</v>
      </c>
      <c r="B33" s="5131"/>
      <c r="C33" s="1903" t="s">
        <v>465</v>
      </c>
      <c r="D33" s="1869" t="s">
        <v>597</v>
      </c>
      <c r="E33" s="5130"/>
      <c r="F33" s="5130"/>
      <c r="G33" s="5130"/>
      <c r="H33" s="5128"/>
      <c r="I33" s="5128"/>
      <c r="J33" s="5128"/>
      <c r="K33" s="5128"/>
      <c r="L33" s="5128"/>
      <c r="M33" s="5128" t="s">
        <v>533</v>
      </c>
      <c r="N33" s="5128"/>
      <c r="O33" s="5128"/>
      <c r="P33" s="5128"/>
      <c r="Q33" s="5128"/>
      <c r="R33" s="5128"/>
      <c r="S33" s="5128"/>
      <c r="T33" s="5128"/>
      <c r="U33" s="5128"/>
      <c r="V33" s="5128"/>
      <c r="W33" s="5128"/>
      <c r="X33" s="5128"/>
      <c r="Y33" s="5128" t="s">
        <v>533</v>
      </c>
    </row>
    <row r="34" spans="1:25" s="48" customFormat="1">
      <c r="A34" s="2044" t="s">
        <v>1291</v>
      </c>
      <c r="B34" s="5131"/>
      <c r="C34" s="1903" t="s">
        <v>466</v>
      </c>
      <c r="D34" s="1869" t="s">
        <v>597</v>
      </c>
      <c r="E34" s="5130"/>
      <c r="F34" s="5130"/>
      <c r="G34" s="5130"/>
      <c r="H34" s="5128"/>
      <c r="I34" s="5128"/>
      <c r="J34" s="5128"/>
      <c r="K34" s="5128"/>
      <c r="L34" s="5128"/>
      <c r="M34" s="5128" t="s">
        <v>533</v>
      </c>
      <c r="N34" s="5128"/>
      <c r="O34" s="5128"/>
      <c r="P34" s="5128"/>
      <c r="Q34" s="5128"/>
      <c r="R34" s="5128"/>
      <c r="S34" s="5128"/>
      <c r="T34" s="5128"/>
      <c r="U34" s="5128"/>
      <c r="V34" s="5128"/>
      <c r="W34" s="5128"/>
      <c r="X34" s="5128"/>
      <c r="Y34" s="5128" t="s">
        <v>533</v>
      </c>
    </row>
    <row r="35" spans="1:25" s="48" customFormat="1">
      <c r="A35" s="2035" t="s">
        <v>1296</v>
      </c>
      <c r="B35" s="5123" t="s">
        <v>1253</v>
      </c>
      <c r="C35" s="1969" t="s">
        <v>1186</v>
      </c>
      <c r="D35" s="1963" t="s">
        <v>597</v>
      </c>
      <c r="E35" s="5129" t="s">
        <v>1146</v>
      </c>
      <c r="F35" s="5129" t="s">
        <v>1184</v>
      </c>
      <c r="G35" s="5129" t="s">
        <v>1180</v>
      </c>
      <c r="H35" s="5125"/>
      <c r="I35" s="5125"/>
      <c r="J35" s="5125"/>
      <c r="K35" s="5125"/>
      <c r="L35" s="5125"/>
      <c r="M35" s="5125" t="s">
        <v>533</v>
      </c>
      <c r="N35" s="5125"/>
      <c r="O35" s="5125"/>
      <c r="P35" s="5125"/>
      <c r="Q35" s="5125"/>
      <c r="R35" s="5125"/>
      <c r="S35" s="5125"/>
      <c r="T35" s="5125"/>
      <c r="U35" s="5125"/>
      <c r="V35" s="5125"/>
      <c r="W35" s="5125"/>
      <c r="X35" s="5125"/>
      <c r="Y35" s="5125" t="s">
        <v>533</v>
      </c>
    </row>
    <row r="36" spans="1:25" s="48" customFormat="1">
      <c r="A36" s="2035" t="s">
        <v>1296</v>
      </c>
      <c r="B36" s="5123"/>
      <c r="C36" s="1970" t="s">
        <v>1178</v>
      </c>
      <c r="D36" s="1963" t="s">
        <v>1177</v>
      </c>
      <c r="E36" s="5129"/>
      <c r="F36" s="5129"/>
      <c r="G36" s="5129"/>
      <c r="H36" s="5125"/>
      <c r="I36" s="5125"/>
      <c r="J36" s="5125"/>
      <c r="K36" s="5125"/>
      <c r="L36" s="5125"/>
      <c r="M36" s="5125" t="s">
        <v>533</v>
      </c>
      <c r="N36" s="5125"/>
      <c r="O36" s="5125"/>
      <c r="P36" s="5125"/>
      <c r="Q36" s="5125"/>
      <c r="R36" s="5125"/>
      <c r="S36" s="5125"/>
      <c r="T36" s="5125"/>
      <c r="U36" s="5125"/>
      <c r="V36" s="5125"/>
      <c r="W36" s="5125"/>
      <c r="X36" s="5125"/>
      <c r="Y36" s="5125" t="s">
        <v>533</v>
      </c>
    </row>
    <row r="37" spans="1:25" s="48" customFormat="1">
      <c r="A37" s="2035" t="s">
        <v>1296</v>
      </c>
      <c r="B37" s="5123"/>
      <c r="C37" s="1927" t="s">
        <v>1183</v>
      </c>
      <c r="D37" s="1928" t="s">
        <v>1140</v>
      </c>
      <c r="E37" s="1928" t="s">
        <v>1146</v>
      </c>
      <c r="F37" s="1928" t="s">
        <v>1184</v>
      </c>
      <c r="G37" s="1928" t="s">
        <v>1180</v>
      </c>
      <c r="H37" s="1994"/>
      <c r="I37" s="1994"/>
      <c r="J37" s="1994"/>
      <c r="K37" s="1994"/>
      <c r="L37" s="1994"/>
      <c r="M37" s="1994" t="s">
        <v>533</v>
      </c>
      <c r="N37" s="1994"/>
      <c r="O37" s="1994"/>
      <c r="P37" s="1994"/>
      <c r="Q37" s="1994"/>
      <c r="R37" s="1994"/>
      <c r="S37" s="1994"/>
      <c r="T37" s="1994"/>
      <c r="U37" s="1994"/>
      <c r="V37" s="1994"/>
      <c r="W37" s="1994"/>
      <c r="X37" s="1994"/>
      <c r="Y37" s="1994" t="s">
        <v>533</v>
      </c>
    </row>
    <row r="38" spans="1:25" s="48" customFormat="1">
      <c r="A38" s="2035" t="s">
        <v>1296</v>
      </c>
      <c r="B38" s="5123"/>
      <c r="C38" s="1967" t="s">
        <v>1179</v>
      </c>
      <c r="D38" s="1968" t="s">
        <v>597</v>
      </c>
      <c r="E38" s="1968" t="s">
        <v>1146</v>
      </c>
      <c r="F38" s="1968" t="s">
        <v>1184</v>
      </c>
      <c r="G38" s="1968" t="s">
        <v>1180</v>
      </c>
      <c r="H38" s="1995"/>
      <c r="I38" s="1995"/>
      <c r="J38" s="1995"/>
      <c r="K38" s="1995"/>
      <c r="L38" s="1995"/>
      <c r="M38" s="1995" t="s">
        <v>533</v>
      </c>
      <c r="N38" s="1995"/>
      <c r="O38" s="1995"/>
      <c r="P38" s="1995"/>
      <c r="Q38" s="1995"/>
      <c r="R38" s="1995"/>
      <c r="S38" s="1995"/>
      <c r="T38" s="1995"/>
      <c r="U38" s="1995"/>
      <c r="V38" s="1995"/>
      <c r="W38" s="1995"/>
      <c r="X38" s="1995"/>
      <c r="Y38" s="1995" t="s">
        <v>533</v>
      </c>
    </row>
    <row r="39" spans="1:25" s="48" customFormat="1">
      <c r="A39" s="2035" t="s">
        <v>1296</v>
      </c>
      <c r="B39" s="5123"/>
      <c r="C39" s="1927" t="s">
        <v>1185</v>
      </c>
      <c r="D39" s="1928" t="s">
        <v>1140</v>
      </c>
      <c r="E39" s="1928" t="s">
        <v>1146</v>
      </c>
      <c r="F39" s="1928" t="s">
        <v>1184</v>
      </c>
      <c r="G39" s="1928" t="s">
        <v>1180</v>
      </c>
      <c r="H39" s="1994"/>
      <c r="I39" s="1994"/>
      <c r="J39" s="1994"/>
      <c r="K39" s="1994"/>
      <c r="L39" s="1994"/>
      <c r="M39" s="1994" t="s">
        <v>533</v>
      </c>
      <c r="N39" s="1994"/>
      <c r="O39" s="1994"/>
      <c r="P39" s="1994"/>
      <c r="Q39" s="1994"/>
      <c r="R39" s="1994"/>
      <c r="S39" s="1994"/>
      <c r="T39" s="1994"/>
      <c r="U39" s="1994"/>
      <c r="V39" s="1994"/>
      <c r="W39" s="1994"/>
      <c r="X39" s="1994"/>
      <c r="Y39" s="1994" t="s">
        <v>533</v>
      </c>
    </row>
    <row r="40" spans="1:25" s="48" customFormat="1">
      <c r="A40" s="2040" t="s">
        <v>1286</v>
      </c>
      <c r="B40" s="5135" t="s">
        <v>1254</v>
      </c>
      <c r="C40" s="1978" t="s">
        <v>1190</v>
      </c>
      <c r="D40" s="1979" t="s">
        <v>597</v>
      </c>
      <c r="E40" s="1979" t="s">
        <v>1146</v>
      </c>
      <c r="F40" s="1979" t="s">
        <v>1189</v>
      </c>
      <c r="G40" s="1979" t="s">
        <v>1149</v>
      </c>
      <c r="H40" s="1996"/>
      <c r="I40" s="1996"/>
      <c r="J40" s="1996"/>
      <c r="K40" s="1996"/>
      <c r="L40" s="1996"/>
      <c r="M40" s="1996" t="s">
        <v>533</v>
      </c>
      <c r="N40" s="1996"/>
      <c r="O40" s="1996"/>
      <c r="P40" s="1996"/>
      <c r="Q40" s="1996"/>
      <c r="R40" s="1996"/>
      <c r="S40" s="1996"/>
      <c r="T40" s="1996"/>
      <c r="U40" s="1996"/>
      <c r="V40" s="1996"/>
      <c r="W40" s="1996"/>
      <c r="X40" s="1996"/>
      <c r="Y40" s="1996" t="s">
        <v>533</v>
      </c>
    </row>
    <row r="41" spans="1:25" s="48" customFormat="1">
      <c r="A41" s="2040" t="s">
        <v>1286</v>
      </c>
      <c r="B41" s="5135"/>
      <c r="C41" s="1980" t="s">
        <v>1191</v>
      </c>
      <c r="D41" s="1981" t="s">
        <v>33</v>
      </c>
      <c r="E41" s="1981" t="s">
        <v>1146</v>
      </c>
      <c r="F41" s="1981" t="s">
        <v>1189</v>
      </c>
      <c r="G41" s="1981" t="s">
        <v>1149</v>
      </c>
      <c r="H41" s="1997"/>
      <c r="I41" s="1997"/>
      <c r="J41" s="1997"/>
      <c r="K41" s="1997"/>
      <c r="L41" s="1997"/>
      <c r="M41" s="1997" t="s">
        <v>533</v>
      </c>
      <c r="N41" s="1997"/>
      <c r="O41" s="1997"/>
      <c r="P41" s="1997"/>
      <c r="Q41" s="1997"/>
      <c r="R41" s="1997"/>
      <c r="S41" s="1997"/>
      <c r="T41" s="1997"/>
      <c r="U41" s="1997"/>
      <c r="V41" s="1997"/>
      <c r="W41" s="1997"/>
      <c r="X41" s="1997"/>
      <c r="Y41" s="1997" t="s">
        <v>533</v>
      </c>
    </row>
    <row r="42" spans="1:25" s="48" customFormat="1" ht="27.6">
      <c r="A42" s="2040" t="s">
        <v>1286</v>
      </c>
      <c r="B42" s="5135"/>
      <c r="C42" s="1978" t="s">
        <v>1187</v>
      </c>
      <c r="D42" s="1979" t="s">
        <v>597</v>
      </c>
      <c r="E42" s="1979" t="s">
        <v>1188</v>
      </c>
      <c r="F42" s="1979" t="s">
        <v>1192</v>
      </c>
      <c r="G42" s="1979" t="s">
        <v>1149</v>
      </c>
      <c r="H42" s="1996" t="s">
        <v>533</v>
      </c>
      <c r="I42" s="1996" t="s">
        <v>533</v>
      </c>
      <c r="J42" s="1996" t="s">
        <v>533</v>
      </c>
      <c r="K42" s="1996" t="s">
        <v>533</v>
      </c>
      <c r="L42" s="1996" t="s">
        <v>533</v>
      </c>
      <c r="M42" s="1996" t="s">
        <v>533</v>
      </c>
      <c r="N42" s="1996" t="s">
        <v>533</v>
      </c>
      <c r="O42" s="1996" t="s">
        <v>533</v>
      </c>
      <c r="P42" s="1996" t="s">
        <v>533</v>
      </c>
      <c r="Q42" s="1996" t="s">
        <v>533</v>
      </c>
      <c r="R42" s="1996" t="s">
        <v>533</v>
      </c>
      <c r="S42" s="1996" t="s">
        <v>533</v>
      </c>
      <c r="T42" s="1996"/>
      <c r="U42" s="1996"/>
      <c r="V42" s="1996"/>
      <c r="W42" s="1996"/>
      <c r="X42" s="1996"/>
      <c r="Y42" s="1996" t="s">
        <v>533</v>
      </c>
    </row>
    <row r="43" spans="1:25" s="48" customFormat="1" ht="27.6">
      <c r="A43" s="2040" t="s">
        <v>1286</v>
      </c>
      <c r="B43" s="5135"/>
      <c r="C43" s="1980" t="s">
        <v>1195</v>
      </c>
      <c r="D43" s="1981" t="s">
        <v>33</v>
      </c>
      <c r="E43" s="1981" t="s">
        <v>1188</v>
      </c>
      <c r="F43" s="1981" t="s">
        <v>1192</v>
      </c>
      <c r="G43" s="1979" t="s">
        <v>1149</v>
      </c>
      <c r="H43" s="1996" t="s">
        <v>533</v>
      </c>
      <c r="I43" s="1996" t="s">
        <v>533</v>
      </c>
      <c r="J43" s="1996" t="s">
        <v>533</v>
      </c>
      <c r="K43" s="1996" t="s">
        <v>533</v>
      </c>
      <c r="L43" s="1996" t="s">
        <v>533</v>
      </c>
      <c r="M43" s="1996" t="s">
        <v>533</v>
      </c>
      <c r="N43" s="1996" t="s">
        <v>533</v>
      </c>
      <c r="O43" s="1996" t="s">
        <v>533</v>
      </c>
      <c r="P43" s="1996" t="s">
        <v>533</v>
      </c>
      <c r="Q43" s="1996" t="s">
        <v>533</v>
      </c>
      <c r="R43" s="1996" t="s">
        <v>533</v>
      </c>
      <c r="S43" s="1996" t="s">
        <v>533</v>
      </c>
      <c r="T43" s="1996"/>
      <c r="U43" s="1996"/>
      <c r="V43" s="1996"/>
      <c r="W43" s="1996"/>
      <c r="X43" s="1996"/>
      <c r="Y43" s="1996" t="s">
        <v>533</v>
      </c>
    </row>
    <row r="44" spans="1:25" s="48" customFormat="1" ht="27.6">
      <c r="A44" s="2040" t="s">
        <v>1286</v>
      </c>
      <c r="B44" s="5135"/>
      <c r="C44" s="1982" t="s">
        <v>1194</v>
      </c>
      <c r="D44" s="1983" t="s">
        <v>597</v>
      </c>
      <c r="E44" s="1983" t="s">
        <v>1188</v>
      </c>
      <c r="F44" s="1983" t="s">
        <v>1193</v>
      </c>
      <c r="G44" s="1983" t="s">
        <v>1149</v>
      </c>
      <c r="H44" s="1998" t="s">
        <v>533</v>
      </c>
      <c r="I44" s="1998" t="s">
        <v>533</v>
      </c>
      <c r="J44" s="1998" t="s">
        <v>533</v>
      </c>
      <c r="K44" s="1998" t="s">
        <v>533</v>
      </c>
      <c r="L44" s="1998" t="s">
        <v>533</v>
      </c>
      <c r="M44" s="1998" t="s">
        <v>533</v>
      </c>
      <c r="N44" s="1998" t="s">
        <v>533</v>
      </c>
      <c r="O44" s="1998" t="s">
        <v>533</v>
      </c>
      <c r="P44" s="1998" t="s">
        <v>533</v>
      </c>
      <c r="Q44" s="1998" t="s">
        <v>533</v>
      </c>
      <c r="R44" s="1998" t="s">
        <v>533</v>
      </c>
      <c r="S44" s="1998" t="s">
        <v>533</v>
      </c>
      <c r="T44" s="1998"/>
      <c r="U44" s="1998"/>
      <c r="V44" s="1998"/>
      <c r="W44" s="1998"/>
      <c r="X44" s="1998"/>
      <c r="Y44" s="1998" t="s">
        <v>533</v>
      </c>
    </row>
    <row r="45" spans="1:25" s="48" customFormat="1" ht="27.6">
      <c r="A45" s="2040" t="s">
        <v>1286</v>
      </c>
      <c r="B45" s="5135"/>
      <c r="C45" s="1982" t="s">
        <v>1196</v>
      </c>
      <c r="D45" s="1983" t="s">
        <v>1140</v>
      </c>
      <c r="E45" s="1983" t="s">
        <v>1146</v>
      </c>
      <c r="F45" s="1983" t="s">
        <v>1197</v>
      </c>
      <c r="G45" s="1983" t="s">
        <v>1149</v>
      </c>
      <c r="H45" s="1998"/>
      <c r="I45" s="1998"/>
      <c r="J45" s="1998"/>
      <c r="K45" s="1998"/>
      <c r="L45" s="1998"/>
      <c r="M45" s="1998" t="s">
        <v>533</v>
      </c>
      <c r="N45" s="1998"/>
      <c r="O45" s="1998"/>
      <c r="P45" s="1998"/>
      <c r="Q45" s="1998"/>
      <c r="R45" s="1998"/>
      <c r="S45" s="1998"/>
      <c r="T45" s="1998"/>
      <c r="U45" s="1998"/>
      <c r="V45" s="1998"/>
      <c r="W45" s="1998"/>
      <c r="X45" s="1998"/>
      <c r="Y45" s="1998" t="s">
        <v>533</v>
      </c>
    </row>
    <row r="46" spans="1:25" s="48" customFormat="1" ht="27.6">
      <c r="A46" s="2040" t="s">
        <v>1286</v>
      </c>
      <c r="B46" s="5135"/>
      <c r="C46" s="1982" t="s">
        <v>1205</v>
      </c>
      <c r="D46" s="1983" t="s">
        <v>1140</v>
      </c>
      <c r="E46" s="1983" t="s">
        <v>1146</v>
      </c>
      <c r="F46" s="1983" t="s">
        <v>1199</v>
      </c>
      <c r="G46" s="1983" t="s">
        <v>1200</v>
      </c>
      <c r="H46" s="1998"/>
      <c r="I46" s="1998"/>
      <c r="J46" s="1998"/>
      <c r="K46" s="1998"/>
      <c r="L46" s="1998"/>
      <c r="M46" s="1998" t="s">
        <v>533</v>
      </c>
      <c r="N46" s="1998"/>
      <c r="O46" s="1998"/>
      <c r="P46" s="1998"/>
      <c r="Q46" s="1998"/>
      <c r="R46" s="1998"/>
      <c r="S46" s="1998"/>
      <c r="T46" s="1998"/>
      <c r="U46" s="1998"/>
      <c r="V46" s="1998"/>
      <c r="W46" s="1998"/>
      <c r="X46" s="1998"/>
      <c r="Y46" s="1998" t="s">
        <v>533</v>
      </c>
    </row>
    <row r="47" spans="1:25" s="48" customFormat="1" ht="27.6">
      <c r="A47" s="2040" t="s">
        <v>1286</v>
      </c>
      <c r="B47" s="5135"/>
      <c r="C47" s="1982" t="s">
        <v>1198</v>
      </c>
      <c r="D47" s="1983" t="s">
        <v>1140</v>
      </c>
      <c r="E47" s="1983" t="s">
        <v>1146</v>
      </c>
      <c r="F47" s="1983" t="s">
        <v>1199</v>
      </c>
      <c r="G47" s="1983" t="s">
        <v>1200</v>
      </c>
      <c r="H47" s="1998"/>
      <c r="I47" s="1998"/>
      <c r="J47" s="1998"/>
      <c r="K47" s="1998"/>
      <c r="L47" s="1998"/>
      <c r="M47" s="1998" t="s">
        <v>533</v>
      </c>
      <c r="N47" s="1998"/>
      <c r="O47" s="1998"/>
      <c r="P47" s="1998"/>
      <c r="Q47" s="1998"/>
      <c r="R47" s="1998"/>
      <c r="S47" s="1998"/>
      <c r="T47" s="1998"/>
      <c r="U47" s="1998"/>
      <c r="V47" s="1998"/>
      <c r="W47" s="1998"/>
      <c r="X47" s="1998"/>
      <c r="Y47" s="1998" t="s">
        <v>533</v>
      </c>
    </row>
    <row r="48" spans="1:25" s="48" customFormat="1" ht="27.6">
      <c r="A48" s="2038" t="s">
        <v>1287</v>
      </c>
      <c r="B48" s="5132" t="s">
        <v>1008</v>
      </c>
      <c r="C48" s="1944" t="s">
        <v>1202</v>
      </c>
      <c r="D48" s="1945" t="s">
        <v>1201</v>
      </c>
      <c r="E48" s="1938" t="s">
        <v>1146</v>
      </c>
      <c r="F48" s="1938" t="s">
        <v>1199</v>
      </c>
      <c r="G48" s="1938" t="s">
        <v>1200</v>
      </c>
      <c r="H48" s="1999"/>
      <c r="I48" s="1999"/>
      <c r="J48" s="1999"/>
      <c r="K48" s="1999"/>
      <c r="L48" s="1999"/>
      <c r="M48" s="1999" t="s">
        <v>533</v>
      </c>
      <c r="N48" s="1999"/>
      <c r="O48" s="1999"/>
      <c r="P48" s="1999"/>
      <c r="Q48" s="1999"/>
      <c r="R48" s="1999"/>
      <c r="S48" s="1999"/>
      <c r="T48" s="1999"/>
      <c r="U48" s="1999"/>
      <c r="V48" s="1999"/>
      <c r="W48" s="1999"/>
      <c r="X48" s="1999"/>
      <c r="Y48" s="1999" t="s">
        <v>533</v>
      </c>
    </row>
    <row r="49" spans="1:25" s="48" customFormat="1" ht="27.6">
      <c r="A49" s="2038" t="s">
        <v>1287</v>
      </c>
      <c r="B49" s="5132"/>
      <c r="C49" s="1944" t="s">
        <v>1203</v>
      </c>
      <c r="D49" s="1945" t="s">
        <v>1163</v>
      </c>
      <c r="E49" s="1938" t="s">
        <v>1146</v>
      </c>
      <c r="F49" s="1938" t="s">
        <v>1199</v>
      </c>
      <c r="G49" s="1938" t="s">
        <v>1200</v>
      </c>
      <c r="H49" s="1999"/>
      <c r="I49" s="1999"/>
      <c r="J49" s="1999"/>
      <c r="K49" s="1999"/>
      <c r="L49" s="1999"/>
      <c r="M49" s="1999" t="s">
        <v>533</v>
      </c>
      <c r="N49" s="1999"/>
      <c r="O49" s="1999"/>
      <c r="P49" s="1999"/>
      <c r="Q49" s="1999"/>
      <c r="R49" s="1999"/>
      <c r="S49" s="1999"/>
      <c r="T49" s="1999"/>
      <c r="U49" s="1999"/>
      <c r="V49" s="1999"/>
      <c r="W49" s="1999"/>
      <c r="X49" s="1999"/>
      <c r="Y49" s="1999" t="s">
        <v>533</v>
      </c>
    </row>
    <row r="50" spans="1:25" s="48" customFormat="1" ht="27.6">
      <c r="A50" s="2038" t="s">
        <v>1287</v>
      </c>
      <c r="B50" s="5132"/>
      <c r="C50" s="1944" t="s">
        <v>1204</v>
      </c>
      <c r="D50" s="1945" t="s">
        <v>1163</v>
      </c>
      <c r="E50" s="1938" t="s">
        <v>1146</v>
      </c>
      <c r="F50" s="1938" t="s">
        <v>1199</v>
      </c>
      <c r="G50" s="1938" t="s">
        <v>1200</v>
      </c>
      <c r="H50" s="1999"/>
      <c r="I50" s="1999"/>
      <c r="J50" s="1999"/>
      <c r="K50" s="1999"/>
      <c r="L50" s="1999"/>
      <c r="M50" s="1999" t="s">
        <v>533</v>
      </c>
      <c r="N50" s="1999"/>
      <c r="O50" s="1999"/>
      <c r="P50" s="1999"/>
      <c r="Q50" s="1999"/>
      <c r="R50" s="1999"/>
      <c r="S50" s="1999"/>
      <c r="T50" s="1999"/>
      <c r="U50" s="1999"/>
      <c r="V50" s="1999"/>
      <c r="W50" s="1999"/>
      <c r="X50" s="1999"/>
      <c r="Y50" s="1999" t="s">
        <v>533</v>
      </c>
    </row>
    <row r="51" spans="1:25" s="48" customFormat="1" ht="27.6">
      <c r="A51" s="2038" t="s">
        <v>1287</v>
      </c>
      <c r="B51" s="5132"/>
      <c r="C51" s="1944" t="s">
        <v>508</v>
      </c>
      <c r="D51" s="1945" t="s">
        <v>1163</v>
      </c>
      <c r="E51" s="1938" t="s">
        <v>1146</v>
      </c>
      <c r="F51" s="1938" t="s">
        <v>1199</v>
      </c>
      <c r="G51" s="1938" t="s">
        <v>1200</v>
      </c>
      <c r="H51" s="1999"/>
      <c r="I51" s="1999"/>
      <c r="J51" s="1999"/>
      <c r="K51" s="1999"/>
      <c r="L51" s="1999"/>
      <c r="M51" s="1999" t="s">
        <v>533</v>
      </c>
      <c r="N51" s="1999"/>
      <c r="O51" s="1999"/>
      <c r="P51" s="1999"/>
      <c r="Q51" s="1999"/>
      <c r="R51" s="1999"/>
      <c r="S51" s="1999"/>
      <c r="T51" s="1999"/>
      <c r="U51" s="1999"/>
      <c r="V51" s="1999"/>
      <c r="W51" s="1999"/>
      <c r="X51" s="1999"/>
      <c r="Y51" s="1999" t="s">
        <v>533</v>
      </c>
    </row>
    <row r="52" spans="1:25" s="48" customFormat="1">
      <c r="A52" s="2042" t="s">
        <v>1288</v>
      </c>
      <c r="B52" s="5134" t="s">
        <v>445</v>
      </c>
      <c r="C52" s="1971" t="s">
        <v>1210</v>
      </c>
      <c r="D52" s="1951" t="s">
        <v>33</v>
      </c>
      <c r="E52" s="1951" t="s">
        <v>1206</v>
      </c>
      <c r="F52" s="1951" t="s">
        <v>1207</v>
      </c>
      <c r="G52" s="1951" t="s">
        <v>1149</v>
      </c>
      <c r="H52" s="2000"/>
      <c r="I52" s="2000"/>
      <c r="J52" s="2000"/>
      <c r="K52" s="2000"/>
      <c r="L52" s="2000"/>
      <c r="M52" s="2000" t="s">
        <v>533</v>
      </c>
      <c r="N52" s="2000"/>
      <c r="O52" s="2000"/>
      <c r="P52" s="2000"/>
      <c r="Q52" s="2000"/>
      <c r="R52" s="2000"/>
      <c r="S52" s="2000" t="s">
        <v>533</v>
      </c>
      <c r="T52" s="2000"/>
      <c r="U52" s="2000"/>
      <c r="V52" s="2000"/>
      <c r="W52" s="2000"/>
      <c r="X52" s="2000"/>
      <c r="Y52" s="2000" t="s">
        <v>533</v>
      </c>
    </row>
    <row r="53" spans="1:25" s="48" customFormat="1" ht="27.6">
      <c r="A53" s="2042" t="s">
        <v>1288</v>
      </c>
      <c r="B53" s="5134"/>
      <c r="C53" s="1971" t="s">
        <v>1208</v>
      </c>
      <c r="D53" s="1951" t="s">
        <v>33</v>
      </c>
      <c r="E53" s="1951" t="s">
        <v>1188</v>
      </c>
      <c r="F53" s="1951" t="s">
        <v>1209</v>
      </c>
      <c r="G53" s="1951" t="s">
        <v>1200</v>
      </c>
      <c r="H53" s="2000" t="s">
        <v>533</v>
      </c>
      <c r="I53" s="2000" t="s">
        <v>533</v>
      </c>
      <c r="J53" s="2000" t="s">
        <v>533</v>
      </c>
      <c r="K53" s="2000" t="s">
        <v>533</v>
      </c>
      <c r="L53" s="2000" t="s">
        <v>533</v>
      </c>
      <c r="M53" s="2000" t="s">
        <v>533</v>
      </c>
      <c r="N53" s="2000" t="s">
        <v>533</v>
      </c>
      <c r="O53" s="2000" t="s">
        <v>533</v>
      </c>
      <c r="P53" s="2000" t="s">
        <v>533</v>
      </c>
      <c r="Q53" s="2000" t="s">
        <v>533</v>
      </c>
      <c r="R53" s="2000" t="s">
        <v>533</v>
      </c>
      <c r="S53" s="2000" t="s">
        <v>533</v>
      </c>
      <c r="T53" s="2000"/>
      <c r="U53" s="2000"/>
      <c r="V53" s="2000"/>
      <c r="W53" s="2000"/>
      <c r="X53" s="2000"/>
      <c r="Y53" s="2000" t="s">
        <v>533</v>
      </c>
    </row>
    <row r="54" spans="1:25" s="48" customFormat="1">
      <c r="A54" s="2042" t="s">
        <v>1288</v>
      </c>
      <c r="B54" s="5134"/>
      <c r="C54" s="1971" t="s">
        <v>1211</v>
      </c>
      <c r="D54" s="1951" t="s">
        <v>33</v>
      </c>
      <c r="E54" s="1951" t="s">
        <v>1206</v>
      </c>
      <c r="F54" s="1951" t="s">
        <v>1207</v>
      </c>
      <c r="G54" s="1951" t="s">
        <v>1149</v>
      </c>
      <c r="H54" s="2000"/>
      <c r="I54" s="2000"/>
      <c r="J54" s="2000"/>
      <c r="K54" s="2000"/>
      <c r="L54" s="2000"/>
      <c r="M54" s="2000" t="s">
        <v>533</v>
      </c>
      <c r="N54" s="2000"/>
      <c r="O54" s="2000"/>
      <c r="P54" s="2000"/>
      <c r="Q54" s="2000"/>
      <c r="R54" s="2000"/>
      <c r="S54" s="2000" t="s">
        <v>533</v>
      </c>
      <c r="T54" s="2000"/>
      <c r="U54" s="2000"/>
      <c r="V54" s="2000"/>
      <c r="W54" s="2000"/>
      <c r="X54" s="2000"/>
      <c r="Y54" s="2000" t="s">
        <v>533</v>
      </c>
    </row>
    <row r="55" spans="1:25" s="48" customFormat="1" ht="27.6">
      <c r="A55" s="2042" t="s">
        <v>1288</v>
      </c>
      <c r="B55" s="5134"/>
      <c r="C55" s="1971" t="s">
        <v>1212</v>
      </c>
      <c r="D55" s="1951" t="s">
        <v>33</v>
      </c>
      <c r="E55" s="1951" t="s">
        <v>1188</v>
      </c>
      <c r="F55" s="1951" t="s">
        <v>1209</v>
      </c>
      <c r="G55" s="1951" t="s">
        <v>1200</v>
      </c>
      <c r="H55" s="2000" t="s">
        <v>533</v>
      </c>
      <c r="I55" s="2000" t="s">
        <v>533</v>
      </c>
      <c r="J55" s="2000" t="s">
        <v>533</v>
      </c>
      <c r="K55" s="2000" t="s">
        <v>533</v>
      </c>
      <c r="L55" s="2000" t="s">
        <v>533</v>
      </c>
      <c r="M55" s="2000" t="s">
        <v>533</v>
      </c>
      <c r="N55" s="2000" t="s">
        <v>533</v>
      </c>
      <c r="O55" s="2000" t="s">
        <v>533</v>
      </c>
      <c r="P55" s="2000" t="s">
        <v>533</v>
      </c>
      <c r="Q55" s="2000" t="s">
        <v>533</v>
      </c>
      <c r="R55" s="2000" t="s">
        <v>533</v>
      </c>
      <c r="S55" s="2000" t="s">
        <v>533</v>
      </c>
      <c r="T55" s="2000"/>
      <c r="U55" s="2000"/>
      <c r="V55" s="2000"/>
      <c r="W55" s="2000"/>
      <c r="X55" s="2000"/>
      <c r="Y55" s="2000" t="s">
        <v>533</v>
      </c>
    </row>
    <row r="56" spans="1:25" s="48" customFormat="1">
      <c r="A56" s="2042" t="s">
        <v>1288</v>
      </c>
      <c r="B56" s="5134"/>
      <c r="C56" s="1971" t="s">
        <v>1213</v>
      </c>
      <c r="D56" s="1951" t="s">
        <v>33</v>
      </c>
      <c r="E56" s="1951" t="s">
        <v>1206</v>
      </c>
      <c r="F56" s="1951" t="s">
        <v>1207</v>
      </c>
      <c r="G56" s="1951" t="s">
        <v>1149</v>
      </c>
      <c r="H56" s="2000"/>
      <c r="I56" s="2000"/>
      <c r="J56" s="2000"/>
      <c r="K56" s="2000"/>
      <c r="L56" s="2000"/>
      <c r="M56" s="2000" t="s">
        <v>533</v>
      </c>
      <c r="N56" s="2000"/>
      <c r="O56" s="2000"/>
      <c r="P56" s="2000"/>
      <c r="Q56" s="2000"/>
      <c r="R56" s="2000"/>
      <c r="S56" s="2000" t="s">
        <v>533</v>
      </c>
      <c r="T56" s="2000"/>
      <c r="U56" s="2000"/>
      <c r="V56" s="2000"/>
      <c r="W56" s="2000"/>
      <c r="X56" s="2000"/>
      <c r="Y56" s="2000" t="s">
        <v>533</v>
      </c>
    </row>
    <row r="57" spans="1:25" s="48" customFormat="1" ht="27.6">
      <c r="A57" s="2042" t="s">
        <v>1288</v>
      </c>
      <c r="B57" s="5134"/>
      <c r="C57" s="1971" t="s">
        <v>1214</v>
      </c>
      <c r="D57" s="1951" t="s">
        <v>33</v>
      </c>
      <c r="E57" s="1951" t="s">
        <v>1188</v>
      </c>
      <c r="F57" s="1951" t="s">
        <v>1209</v>
      </c>
      <c r="G57" s="1951" t="s">
        <v>1200</v>
      </c>
      <c r="H57" s="2000" t="s">
        <v>533</v>
      </c>
      <c r="I57" s="2000" t="s">
        <v>533</v>
      </c>
      <c r="J57" s="2000" t="s">
        <v>533</v>
      </c>
      <c r="K57" s="2000" t="s">
        <v>533</v>
      </c>
      <c r="L57" s="2000" t="s">
        <v>533</v>
      </c>
      <c r="M57" s="2000" t="s">
        <v>533</v>
      </c>
      <c r="N57" s="2000" t="s">
        <v>533</v>
      </c>
      <c r="O57" s="2000" t="s">
        <v>533</v>
      </c>
      <c r="P57" s="2000" t="s">
        <v>533</v>
      </c>
      <c r="Q57" s="2000" t="s">
        <v>533</v>
      </c>
      <c r="R57" s="2000" t="s">
        <v>533</v>
      </c>
      <c r="S57" s="2000" t="s">
        <v>533</v>
      </c>
      <c r="T57" s="2000"/>
      <c r="U57" s="2000"/>
      <c r="V57" s="2000"/>
      <c r="W57" s="2000"/>
      <c r="X57" s="2000"/>
      <c r="Y57" s="2000" t="s">
        <v>533</v>
      </c>
    </row>
    <row r="58" spans="1:25" s="48" customFormat="1">
      <c r="A58" s="2042" t="s">
        <v>1288</v>
      </c>
      <c r="B58" s="5134"/>
      <c r="C58" s="1971" t="s">
        <v>1215</v>
      </c>
      <c r="D58" s="1951" t="s">
        <v>33</v>
      </c>
      <c r="E58" s="1951" t="s">
        <v>1206</v>
      </c>
      <c r="F58" s="1951" t="s">
        <v>1207</v>
      </c>
      <c r="G58" s="1951" t="s">
        <v>1149</v>
      </c>
      <c r="H58" s="2000"/>
      <c r="I58" s="2000"/>
      <c r="J58" s="2000"/>
      <c r="K58" s="2000"/>
      <c r="L58" s="2000"/>
      <c r="M58" s="2000" t="s">
        <v>533</v>
      </c>
      <c r="N58" s="2000"/>
      <c r="O58" s="2000"/>
      <c r="P58" s="2000"/>
      <c r="Q58" s="2000"/>
      <c r="R58" s="2000"/>
      <c r="S58" s="2000" t="s">
        <v>533</v>
      </c>
      <c r="T58" s="2000"/>
      <c r="U58" s="2000"/>
      <c r="V58" s="2000"/>
      <c r="W58" s="2000"/>
      <c r="X58" s="2000"/>
      <c r="Y58" s="2000" t="s">
        <v>533</v>
      </c>
    </row>
    <row r="59" spans="1:25" s="48" customFormat="1" ht="27.6">
      <c r="A59" s="2042" t="s">
        <v>1288</v>
      </c>
      <c r="B59" s="5134"/>
      <c r="C59" s="1971" t="s">
        <v>1216</v>
      </c>
      <c r="D59" s="1951" t="s">
        <v>33</v>
      </c>
      <c r="E59" s="1951" t="s">
        <v>1188</v>
      </c>
      <c r="F59" s="1951" t="s">
        <v>1209</v>
      </c>
      <c r="G59" s="1951" t="s">
        <v>1200</v>
      </c>
      <c r="H59" s="2000" t="s">
        <v>533</v>
      </c>
      <c r="I59" s="2000" t="s">
        <v>533</v>
      </c>
      <c r="J59" s="2000" t="s">
        <v>533</v>
      </c>
      <c r="K59" s="2000" t="s">
        <v>533</v>
      </c>
      <c r="L59" s="2000" t="s">
        <v>533</v>
      </c>
      <c r="M59" s="2000" t="s">
        <v>533</v>
      </c>
      <c r="N59" s="2000" t="s">
        <v>533</v>
      </c>
      <c r="O59" s="2000" t="s">
        <v>533</v>
      </c>
      <c r="P59" s="2000" t="s">
        <v>533</v>
      </c>
      <c r="Q59" s="2000" t="s">
        <v>533</v>
      </c>
      <c r="R59" s="2000" t="s">
        <v>533</v>
      </c>
      <c r="S59" s="2000" t="s">
        <v>533</v>
      </c>
      <c r="T59" s="2000"/>
      <c r="U59" s="2000"/>
      <c r="V59" s="2000"/>
      <c r="W59" s="2000"/>
      <c r="X59" s="2000"/>
      <c r="Y59" s="2000" t="s">
        <v>533</v>
      </c>
    </row>
    <row r="60" spans="1:25" s="48" customFormat="1" ht="27.6">
      <c r="A60" s="2042" t="s">
        <v>1288</v>
      </c>
      <c r="B60" s="5134"/>
      <c r="C60" s="1972" t="s">
        <v>175</v>
      </c>
      <c r="D60" s="1952" t="s">
        <v>1163</v>
      </c>
      <c r="E60" s="1952" t="s">
        <v>1188</v>
      </c>
      <c r="F60" s="1952" t="s">
        <v>1209</v>
      </c>
      <c r="G60" s="1952" t="s">
        <v>1200</v>
      </c>
      <c r="H60" s="2001" t="s">
        <v>533</v>
      </c>
      <c r="I60" s="2001" t="s">
        <v>533</v>
      </c>
      <c r="J60" s="2001" t="s">
        <v>533</v>
      </c>
      <c r="K60" s="2001" t="s">
        <v>533</v>
      </c>
      <c r="L60" s="2001" t="s">
        <v>533</v>
      </c>
      <c r="M60" s="2001" t="s">
        <v>533</v>
      </c>
      <c r="N60" s="2001" t="s">
        <v>533</v>
      </c>
      <c r="O60" s="2001" t="s">
        <v>533</v>
      </c>
      <c r="P60" s="2001" t="s">
        <v>533</v>
      </c>
      <c r="Q60" s="2001" t="s">
        <v>533</v>
      </c>
      <c r="R60" s="2001" t="s">
        <v>533</v>
      </c>
      <c r="S60" s="2001" t="s">
        <v>533</v>
      </c>
      <c r="T60" s="2001"/>
      <c r="U60" s="2001"/>
      <c r="V60" s="2001"/>
      <c r="W60" s="2001"/>
      <c r="X60" s="2001"/>
      <c r="Y60" s="2001" t="s">
        <v>533</v>
      </c>
    </row>
    <row r="61" spans="1:25" s="48" customFormat="1" ht="27.6">
      <c r="A61" s="2042" t="s">
        <v>1288</v>
      </c>
      <c r="B61" s="5134"/>
      <c r="C61" s="1973" t="s">
        <v>1225</v>
      </c>
      <c r="D61" s="1953" t="s">
        <v>1163</v>
      </c>
      <c r="E61" s="1953" t="s">
        <v>1188</v>
      </c>
      <c r="F61" s="1953" t="s">
        <v>1209</v>
      </c>
      <c r="G61" s="1953" t="s">
        <v>1200</v>
      </c>
      <c r="H61" s="2002" t="s">
        <v>533</v>
      </c>
      <c r="I61" s="2002" t="s">
        <v>533</v>
      </c>
      <c r="J61" s="2002" t="s">
        <v>533</v>
      </c>
      <c r="K61" s="2002" t="s">
        <v>533</v>
      </c>
      <c r="L61" s="2002" t="s">
        <v>533</v>
      </c>
      <c r="M61" s="2002" t="s">
        <v>533</v>
      </c>
      <c r="N61" s="2002" t="s">
        <v>533</v>
      </c>
      <c r="O61" s="2002" t="s">
        <v>533</v>
      </c>
      <c r="P61" s="2002" t="s">
        <v>533</v>
      </c>
      <c r="Q61" s="2002" t="s">
        <v>533</v>
      </c>
      <c r="R61" s="2002" t="s">
        <v>533</v>
      </c>
      <c r="S61" s="2002" t="s">
        <v>533</v>
      </c>
      <c r="T61" s="2002"/>
      <c r="U61" s="2002"/>
      <c r="V61" s="2002"/>
      <c r="W61" s="2002"/>
      <c r="X61" s="2002"/>
      <c r="Y61" s="2002" t="s">
        <v>533</v>
      </c>
    </row>
    <row r="62" spans="1:25" s="48" customFormat="1" ht="27.6">
      <c r="A62" s="2042" t="s">
        <v>1288</v>
      </c>
      <c r="B62" s="5134"/>
      <c r="C62" s="1973" t="s">
        <v>1226</v>
      </c>
      <c r="D62" s="1953" t="s">
        <v>1163</v>
      </c>
      <c r="E62" s="1953" t="s">
        <v>1188</v>
      </c>
      <c r="F62" s="1953" t="s">
        <v>1209</v>
      </c>
      <c r="G62" s="1953" t="s">
        <v>1200</v>
      </c>
      <c r="H62" s="2002" t="s">
        <v>533</v>
      </c>
      <c r="I62" s="2002" t="s">
        <v>533</v>
      </c>
      <c r="J62" s="2002" t="s">
        <v>533</v>
      </c>
      <c r="K62" s="2002" t="s">
        <v>533</v>
      </c>
      <c r="L62" s="2002" t="s">
        <v>533</v>
      </c>
      <c r="M62" s="2002" t="s">
        <v>533</v>
      </c>
      <c r="N62" s="2002" t="s">
        <v>533</v>
      </c>
      <c r="O62" s="2002" t="s">
        <v>533</v>
      </c>
      <c r="P62" s="2002" t="s">
        <v>533</v>
      </c>
      <c r="Q62" s="2002" t="s">
        <v>533</v>
      </c>
      <c r="R62" s="2002" t="s">
        <v>533</v>
      </c>
      <c r="S62" s="2002" t="s">
        <v>533</v>
      </c>
      <c r="T62" s="2002"/>
      <c r="U62" s="2002"/>
      <c r="V62" s="2002"/>
      <c r="W62" s="2002"/>
      <c r="X62" s="2002"/>
      <c r="Y62" s="2002" t="s">
        <v>533</v>
      </c>
    </row>
    <row r="63" spans="1:25" s="48" customFormat="1" ht="27.6">
      <c r="A63" s="2042" t="s">
        <v>1288</v>
      </c>
      <c r="B63" s="5134"/>
      <c r="C63" s="1973" t="s">
        <v>1227</v>
      </c>
      <c r="D63" s="1953" t="s">
        <v>1163</v>
      </c>
      <c r="E63" s="1953" t="s">
        <v>1188</v>
      </c>
      <c r="F63" s="1953" t="s">
        <v>1209</v>
      </c>
      <c r="G63" s="1953" t="s">
        <v>1200</v>
      </c>
      <c r="H63" s="2002" t="s">
        <v>533</v>
      </c>
      <c r="I63" s="2002" t="s">
        <v>533</v>
      </c>
      <c r="J63" s="2002" t="s">
        <v>533</v>
      </c>
      <c r="K63" s="2002" t="s">
        <v>533</v>
      </c>
      <c r="L63" s="2002" t="s">
        <v>533</v>
      </c>
      <c r="M63" s="2002" t="s">
        <v>533</v>
      </c>
      <c r="N63" s="2002" t="s">
        <v>533</v>
      </c>
      <c r="O63" s="2002" t="s">
        <v>533</v>
      </c>
      <c r="P63" s="2002" t="s">
        <v>533</v>
      </c>
      <c r="Q63" s="2002" t="s">
        <v>533</v>
      </c>
      <c r="R63" s="2002" t="s">
        <v>533</v>
      </c>
      <c r="S63" s="2002" t="s">
        <v>533</v>
      </c>
      <c r="T63" s="2002"/>
      <c r="U63" s="2002"/>
      <c r="V63" s="2002"/>
      <c r="W63" s="2002"/>
      <c r="X63" s="2002"/>
      <c r="Y63" s="2002" t="s">
        <v>533</v>
      </c>
    </row>
    <row r="64" spans="1:25" s="48" customFormat="1" ht="27.6">
      <c r="A64" s="2042" t="s">
        <v>1288</v>
      </c>
      <c r="B64" s="5134"/>
      <c r="C64" s="1974" t="s">
        <v>1228</v>
      </c>
      <c r="D64" s="1954" t="s">
        <v>1232</v>
      </c>
      <c r="E64" s="1954" t="s">
        <v>1188</v>
      </c>
      <c r="F64" s="1954" t="s">
        <v>1209</v>
      </c>
      <c r="G64" s="1954" t="s">
        <v>1200</v>
      </c>
      <c r="H64" s="2003" t="s">
        <v>533</v>
      </c>
      <c r="I64" s="2003" t="s">
        <v>533</v>
      </c>
      <c r="J64" s="2003" t="s">
        <v>533</v>
      </c>
      <c r="K64" s="2003" t="s">
        <v>533</v>
      </c>
      <c r="L64" s="2003" t="s">
        <v>533</v>
      </c>
      <c r="M64" s="2003" t="s">
        <v>533</v>
      </c>
      <c r="N64" s="2003" t="s">
        <v>533</v>
      </c>
      <c r="O64" s="2003" t="s">
        <v>533</v>
      </c>
      <c r="P64" s="2003" t="s">
        <v>533</v>
      </c>
      <c r="Q64" s="2003" t="s">
        <v>533</v>
      </c>
      <c r="R64" s="2003" t="s">
        <v>533</v>
      </c>
      <c r="S64" s="2003" t="s">
        <v>533</v>
      </c>
      <c r="T64" s="2003"/>
      <c r="U64" s="2003"/>
      <c r="V64" s="2003"/>
      <c r="W64" s="2003"/>
      <c r="X64" s="2003"/>
      <c r="Y64" s="2003" t="s">
        <v>533</v>
      </c>
    </row>
    <row r="65" spans="1:25" s="48" customFormat="1" ht="27.6">
      <c r="A65" s="2042" t="s">
        <v>1288</v>
      </c>
      <c r="B65" s="5134"/>
      <c r="C65" s="1975" t="s">
        <v>1230</v>
      </c>
      <c r="D65" s="1955" t="s">
        <v>1232</v>
      </c>
      <c r="E65" s="1955" t="s">
        <v>1188</v>
      </c>
      <c r="F65" s="1955" t="s">
        <v>1209</v>
      </c>
      <c r="G65" s="1955" t="s">
        <v>1200</v>
      </c>
      <c r="H65" s="2003" t="s">
        <v>533</v>
      </c>
      <c r="I65" s="2003" t="s">
        <v>533</v>
      </c>
      <c r="J65" s="2003" t="s">
        <v>533</v>
      </c>
      <c r="K65" s="2003" t="s">
        <v>533</v>
      </c>
      <c r="L65" s="2003" t="s">
        <v>533</v>
      </c>
      <c r="M65" s="2003" t="s">
        <v>533</v>
      </c>
      <c r="N65" s="2003" t="s">
        <v>533</v>
      </c>
      <c r="O65" s="2003" t="s">
        <v>533</v>
      </c>
      <c r="P65" s="2003" t="s">
        <v>533</v>
      </c>
      <c r="Q65" s="2003" t="s">
        <v>533</v>
      </c>
      <c r="R65" s="2003" t="s">
        <v>533</v>
      </c>
      <c r="S65" s="2003" t="s">
        <v>533</v>
      </c>
      <c r="T65" s="2003"/>
      <c r="U65" s="2003"/>
      <c r="V65" s="2003"/>
      <c r="W65" s="2003"/>
      <c r="X65" s="2003"/>
      <c r="Y65" s="2003" t="s">
        <v>533</v>
      </c>
    </row>
    <row r="66" spans="1:25" s="48" customFormat="1" ht="27.6">
      <c r="A66" s="2042" t="s">
        <v>1288</v>
      </c>
      <c r="B66" s="5134"/>
      <c r="C66" s="1975" t="s">
        <v>1229</v>
      </c>
      <c r="D66" s="1955" t="s">
        <v>1232</v>
      </c>
      <c r="E66" s="1955" t="s">
        <v>1188</v>
      </c>
      <c r="F66" s="1955" t="s">
        <v>1209</v>
      </c>
      <c r="G66" s="1955" t="s">
        <v>1200</v>
      </c>
      <c r="H66" s="2003" t="s">
        <v>533</v>
      </c>
      <c r="I66" s="2003" t="s">
        <v>533</v>
      </c>
      <c r="J66" s="2003" t="s">
        <v>533</v>
      </c>
      <c r="K66" s="2003" t="s">
        <v>533</v>
      </c>
      <c r="L66" s="2003" t="s">
        <v>533</v>
      </c>
      <c r="M66" s="2003" t="s">
        <v>533</v>
      </c>
      <c r="N66" s="2003" t="s">
        <v>533</v>
      </c>
      <c r="O66" s="2003" t="s">
        <v>533</v>
      </c>
      <c r="P66" s="2003" t="s">
        <v>533</v>
      </c>
      <c r="Q66" s="2003" t="s">
        <v>533</v>
      </c>
      <c r="R66" s="2003" t="s">
        <v>533</v>
      </c>
      <c r="S66" s="2003" t="s">
        <v>533</v>
      </c>
      <c r="T66" s="2003"/>
      <c r="U66" s="2003"/>
      <c r="V66" s="2003"/>
      <c r="W66" s="2003"/>
      <c r="X66" s="2003"/>
      <c r="Y66" s="2003" t="s">
        <v>533</v>
      </c>
    </row>
    <row r="67" spans="1:25" s="48" customFormat="1" ht="27.6">
      <c r="A67" s="2042" t="s">
        <v>1288</v>
      </c>
      <c r="B67" s="5134"/>
      <c r="C67" s="1975" t="s">
        <v>1231</v>
      </c>
      <c r="D67" s="1955" t="s">
        <v>1232</v>
      </c>
      <c r="E67" s="1955" t="s">
        <v>1188</v>
      </c>
      <c r="F67" s="1955" t="s">
        <v>1209</v>
      </c>
      <c r="G67" s="1955" t="s">
        <v>1200</v>
      </c>
      <c r="H67" s="2003" t="s">
        <v>533</v>
      </c>
      <c r="I67" s="2003" t="s">
        <v>533</v>
      </c>
      <c r="J67" s="2003" t="s">
        <v>533</v>
      </c>
      <c r="K67" s="2003" t="s">
        <v>533</v>
      </c>
      <c r="L67" s="2003" t="s">
        <v>533</v>
      </c>
      <c r="M67" s="2003" t="s">
        <v>533</v>
      </c>
      <c r="N67" s="2003" t="s">
        <v>533</v>
      </c>
      <c r="O67" s="2003" t="s">
        <v>533</v>
      </c>
      <c r="P67" s="2003" t="s">
        <v>533</v>
      </c>
      <c r="Q67" s="2003" t="s">
        <v>533</v>
      </c>
      <c r="R67" s="2003" t="s">
        <v>533</v>
      </c>
      <c r="S67" s="2003" t="s">
        <v>533</v>
      </c>
      <c r="T67" s="2003"/>
      <c r="U67" s="2003"/>
      <c r="V67" s="2003"/>
      <c r="W67" s="2003"/>
      <c r="X67" s="2003"/>
      <c r="Y67" s="2003" t="s">
        <v>533</v>
      </c>
    </row>
    <row r="68" spans="1:25" s="48" customFormat="1" ht="27.6">
      <c r="A68" s="2044" t="s">
        <v>1291</v>
      </c>
      <c r="B68" s="5132" t="s">
        <v>301</v>
      </c>
      <c r="C68" s="1949" t="s">
        <v>1238</v>
      </c>
      <c r="D68" s="1937" t="s">
        <v>597</v>
      </c>
      <c r="E68" s="1937" t="s">
        <v>1206</v>
      </c>
      <c r="F68" s="1945" t="s">
        <v>1207</v>
      </c>
      <c r="G68" s="1937" t="s">
        <v>1174</v>
      </c>
      <c r="H68" s="2004"/>
      <c r="I68" s="2004"/>
      <c r="J68" s="2004"/>
      <c r="K68" s="2004"/>
      <c r="L68" s="2004"/>
      <c r="M68" s="2004" t="s">
        <v>533</v>
      </c>
      <c r="N68" s="2004"/>
      <c r="O68" s="2004"/>
      <c r="P68" s="2004"/>
      <c r="Q68" s="2004"/>
      <c r="R68" s="2004"/>
      <c r="S68" s="2004" t="s">
        <v>533</v>
      </c>
      <c r="T68" s="2004"/>
      <c r="U68" s="2004"/>
      <c r="V68" s="2004"/>
      <c r="W68" s="2004"/>
      <c r="X68" s="2004"/>
      <c r="Y68" s="2004" t="s">
        <v>533</v>
      </c>
    </row>
    <row r="69" spans="1:25" s="48" customFormat="1">
      <c r="A69" s="2044" t="s">
        <v>1291</v>
      </c>
      <c r="B69" s="5132"/>
      <c r="C69" s="1949" t="s">
        <v>1244</v>
      </c>
      <c r="D69" s="1937" t="s">
        <v>33</v>
      </c>
      <c r="E69" s="1937" t="s">
        <v>1206</v>
      </c>
      <c r="F69" s="1945" t="s">
        <v>1207</v>
      </c>
      <c r="G69" s="1937" t="s">
        <v>1174</v>
      </c>
      <c r="H69" s="2004"/>
      <c r="I69" s="2004"/>
      <c r="J69" s="2004"/>
      <c r="K69" s="2004"/>
      <c r="L69" s="2004"/>
      <c r="M69" s="2004" t="s">
        <v>533</v>
      </c>
      <c r="N69" s="2004"/>
      <c r="O69" s="2004"/>
      <c r="P69" s="2004"/>
      <c r="Q69" s="2004"/>
      <c r="R69" s="2004"/>
      <c r="S69" s="2004" t="s">
        <v>533</v>
      </c>
      <c r="T69" s="2004"/>
      <c r="U69" s="2004"/>
      <c r="V69" s="2004"/>
      <c r="W69" s="2004"/>
      <c r="X69" s="2004"/>
      <c r="Y69" s="2004" t="s">
        <v>533</v>
      </c>
    </row>
    <row r="70" spans="1:25" s="48" customFormat="1">
      <c r="A70" s="2044" t="s">
        <v>1291</v>
      </c>
      <c r="B70" s="5132"/>
      <c r="C70" s="1949" t="s">
        <v>1239</v>
      </c>
      <c r="D70" s="1937" t="s">
        <v>597</v>
      </c>
      <c r="E70" s="1937" t="s">
        <v>1206</v>
      </c>
      <c r="F70" s="1945" t="s">
        <v>1207</v>
      </c>
      <c r="G70" s="1937" t="s">
        <v>1174</v>
      </c>
      <c r="H70" s="2004"/>
      <c r="I70" s="2004"/>
      <c r="J70" s="2004"/>
      <c r="K70" s="2004"/>
      <c r="L70" s="2004"/>
      <c r="M70" s="2004" t="s">
        <v>533</v>
      </c>
      <c r="N70" s="2004"/>
      <c r="O70" s="2004"/>
      <c r="P70" s="2004"/>
      <c r="Q70" s="2004"/>
      <c r="R70" s="2004"/>
      <c r="S70" s="2004" t="s">
        <v>533</v>
      </c>
      <c r="T70" s="2004"/>
      <c r="U70" s="2004"/>
      <c r="V70" s="2004"/>
      <c r="W70" s="2004"/>
      <c r="X70" s="2004"/>
      <c r="Y70" s="2004" t="s">
        <v>533</v>
      </c>
    </row>
    <row r="71" spans="1:25" s="48" customFormat="1">
      <c r="A71" s="2044" t="s">
        <v>1291</v>
      </c>
      <c r="B71" s="5132"/>
      <c r="C71" s="1949" t="s">
        <v>1244</v>
      </c>
      <c r="D71" s="1937" t="s">
        <v>33</v>
      </c>
      <c r="E71" s="1937" t="s">
        <v>1206</v>
      </c>
      <c r="F71" s="1945" t="s">
        <v>1207</v>
      </c>
      <c r="G71" s="1937" t="s">
        <v>1174</v>
      </c>
      <c r="H71" s="2004"/>
      <c r="I71" s="2004"/>
      <c r="J71" s="2004"/>
      <c r="K71" s="2004"/>
      <c r="L71" s="2004"/>
      <c r="M71" s="2004" t="s">
        <v>533</v>
      </c>
      <c r="N71" s="2004"/>
      <c r="O71" s="2004"/>
      <c r="P71" s="2004"/>
      <c r="Q71" s="2004"/>
      <c r="R71" s="2004"/>
      <c r="S71" s="2004" t="s">
        <v>533</v>
      </c>
      <c r="T71" s="2004"/>
      <c r="U71" s="2004"/>
      <c r="V71" s="2004"/>
      <c r="W71" s="2004"/>
      <c r="X71" s="2004"/>
      <c r="Y71" s="2004" t="s">
        <v>533</v>
      </c>
    </row>
    <row r="72" spans="1:25" s="48" customFormat="1">
      <c r="A72" s="2044" t="s">
        <v>1291</v>
      </c>
      <c r="B72" s="5132"/>
      <c r="C72" s="1949" t="s">
        <v>1240</v>
      </c>
      <c r="D72" s="1937" t="s">
        <v>597</v>
      </c>
      <c r="E72" s="1937" t="s">
        <v>1206</v>
      </c>
      <c r="F72" s="1945" t="s">
        <v>1207</v>
      </c>
      <c r="G72" s="1937" t="s">
        <v>1174</v>
      </c>
      <c r="H72" s="2004"/>
      <c r="I72" s="2004"/>
      <c r="J72" s="2004"/>
      <c r="K72" s="2004"/>
      <c r="L72" s="2004"/>
      <c r="M72" s="2004" t="s">
        <v>533</v>
      </c>
      <c r="N72" s="2004"/>
      <c r="O72" s="2004"/>
      <c r="P72" s="2004"/>
      <c r="Q72" s="2004"/>
      <c r="R72" s="2004"/>
      <c r="S72" s="2004" t="s">
        <v>533</v>
      </c>
      <c r="T72" s="2004"/>
      <c r="U72" s="2004"/>
      <c r="V72" s="2004"/>
      <c r="W72" s="2004"/>
      <c r="X72" s="2004"/>
      <c r="Y72" s="2004" t="s">
        <v>533</v>
      </c>
    </row>
    <row r="73" spans="1:25" s="48" customFormat="1">
      <c r="A73" s="2044" t="s">
        <v>1291</v>
      </c>
      <c r="B73" s="5132"/>
      <c r="C73" s="1949" t="s">
        <v>1244</v>
      </c>
      <c r="D73" s="1937" t="s">
        <v>33</v>
      </c>
      <c r="E73" s="1937" t="s">
        <v>1206</v>
      </c>
      <c r="F73" s="1945" t="s">
        <v>1207</v>
      </c>
      <c r="G73" s="1937" t="s">
        <v>1174</v>
      </c>
      <c r="H73" s="2004"/>
      <c r="I73" s="2004"/>
      <c r="J73" s="2004"/>
      <c r="K73" s="2004"/>
      <c r="L73" s="2004"/>
      <c r="M73" s="2004" t="s">
        <v>533</v>
      </c>
      <c r="N73" s="2004"/>
      <c r="O73" s="2004"/>
      <c r="P73" s="2004"/>
      <c r="Q73" s="2004"/>
      <c r="R73" s="2004"/>
      <c r="S73" s="2004" t="s">
        <v>533</v>
      </c>
      <c r="T73" s="2004"/>
      <c r="U73" s="2004"/>
      <c r="V73" s="2004"/>
      <c r="W73" s="2004"/>
      <c r="X73" s="2004"/>
      <c r="Y73" s="2004" t="s">
        <v>533</v>
      </c>
    </row>
    <row r="74" spans="1:25" s="48" customFormat="1">
      <c r="A74" s="2044" t="s">
        <v>1291</v>
      </c>
      <c r="B74" s="5132"/>
      <c r="C74" s="1949" t="s">
        <v>1241</v>
      </c>
      <c r="D74" s="1937" t="s">
        <v>597</v>
      </c>
      <c r="E74" s="1937" t="s">
        <v>1206</v>
      </c>
      <c r="F74" s="1945" t="s">
        <v>1207</v>
      </c>
      <c r="G74" s="1937" t="s">
        <v>1174</v>
      </c>
      <c r="H74" s="2004"/>
      <c r="I74" s="2004"/>
      <c r="J74" s="2004"/>
      <c r="K74" s="2004"/>
      <c r="L74" s="2004"/>
      <c r="M74" s="2004" t="s">
        <v>533</v>
      </c>
      <c r="N74" s="2004"/>
      <c r="O74" s="2004"/>
      <c r="P74" s="2004"/>
      <c r="Q74" s="2004"/>
      <c r="R74" s="2004"/>
      <c r="S74" s="2004" t="s">
        <v>533</v>
      </c>
      <c r="T74" s="2004"/>
      <c r="U74" s="2004"/>
      <c r="V74" s="2004"/>
      <c r="W74" s="2004"/>
      <c r="X74" s="2004"/>
      <c r="Y74" s="2004" t="s">
        <v>533</v>
      </c>
    </row>
    <row r="75" spans="1:25" s="48" customFormat="1">
      <c r="A75" s="2044" t="s">
        <v>1291</v>
      </c>
      <c r="B75" s="5132"/>
      <c r="C75" s="1949" t="s">
        <v>1244</v>
      </c>
      <c r="D75" s="1937" t="s">
        <v>33</v>
      </c>
      <c r="E75" s="1937" t="s">
        <v>1206</v>
      </c>
      <c r="F75" s="1945" t="s">
        <v>1207</v>
      </c>
      <c r="G75" s="1937" t="s">
        <v>1174</v>
      </c>
      <c r="H75" s="2004"/>
      <c r="I75" s="2004"/>
      <c r="J75" s="2004"/>
      <c r="K75" s="2004"/>
      <c r="L75" s="2004"/>
      <c r="M75" s="2004" t="s">
        <v>533</v>
      </c>
      <c r="N75" s="2004"/>
      <c r="O75" s="2004"/>
      <c r="P75" s="2004"/>
      <c r="Q75" s="2004"/>
      <c r="R75" s="2004"/>
      <c r="S75" s="2004" t="s">
        <v>533</v>
      </c>
      <c r="T75" s="2004"/>
      <c r="U75" s="2004"/>
      <c r="V75" s="2004"/>
      <c r="W75" s="2004"/>
      <c r="X75" s="2004"/>
      <c r="Y75" s="2004" t="s">
        <v>533</v>
      </c>
    </row>
    <row r="76" spans="1:25" s="48" customFormat="1">
      <c r="A76" s="2044" t="s">
        <v>1291</v>
      </c>
      <c r="B76" s="5132"/>
      <c r="C76" s="1949" t="s">
        <v>1242</v>
      </c>
      <c r="D76" s="1937" t="s">
        <v>597</v>
      </c>
      <c r="E76" s="1937" t="s">
        <v>1206</v>
      </c>
      <c r="F76" s="1945" t="s">
        <v>1207</v>
      </c>
      <c r="G76" s="1937" t="s">
        <v>1174</v>
      </c>
      <c r="H76" s="2004"/>
      <c r="I76" s="2004"/>
      <c r="J76" s="2004"/>
      <c r="K76" s="2004"/>
      <c r="L76" s="2004"/>
      <c r="M76" s="2004" t="s">
        <v>533</v>
      </c>
      <c r="N76" s="2004"/>
      <c r="O76" s="2004"/>
      <c r="P76" s="2004"/>
      <c r="Q76" s="2004"/>
      <c r="R76" s="2004"/>
      <c r="S76" s="2004" t="s">
        <v>533</v>
      </c>
      <c r="T76" s="2004"/>
      <c r="U76" s="2004"/>
      <c r="V76" s="2004"/>
      <c r="W76" s="2004"/>
      <c r="X76" s="2004"/>
      <c r="Y76" s="2004" t="s">
        <v>533</v>
      </c>
    </row>
    <row r="77" spans="1:25" s="48" customFormat="1">
      <c r="A77" s="2044" t="s">
        <v>1291</v>
      </c>
      <c r="B77" s="5132"/>
      <c r="C77" s="1949" t="s">
        <v>1244</v>
      </c>
      <c r="D77" s="1937" t="s">
        <v>33</v>
      </c>
      <c r="E77" s="1937" t="s">
        <v>1206</v>
      </c>
      <c r="F77" s="1945" t="s">
        <v>1207</v>
      </c>
      <c r="G77" s="1937" t="s">
        <v>1174</v>
      </c>
      <c r="H77" s="2004"/>
      <c r="I77" s="2004"/>
      <c r="J77" s="2004"/>
      <c r="K77" s="2004"/>
      <c r="L77" s="2004"/>
      <c r="M77" s="2004" t="s">
        <v>533</v>
      </c>
      <c r="N77" s="2004"/>
      <c r="O77" s="2004"/>
      <c r="P77" s="2004"/>
      <c r="Q77" s="2004"/>
      <c r="R77" s="2004"/>
      <c r="S77" s="2004" t="s">
        <v>533</v>
      </c>
      <c r="T77" s="2004"/>
      <c r="U77" s="2004"/>
      <c r="V77" s="2004"/>
      <c r="W77" s="2004"/>
      <c r="X77" s="2004"/>
      <c r="Y77" s="2004" t="s">
        <v>533</v>
      </c>
    </row>
    <row r="78" spans="1:25" s="48" customFormat="1">
      <c r="A78" s="2044" t="s">
        <v>1291</v>
      </c>
      <c r="B78" s="5132"/>
      <c r="C78" s="1985" t="s">
        <v>1270</v>
      </c>
      <c r="D78" s="1986" t="s">
        <v>1140</v>
      </c>
      <c r="E78" s="1986" t="s">
        <v>1206</v>
      </c>
      <c r="F78" s="1987" t="s">
        <v>1207</v>
      </c>
      <c r="G78" s="1986" t="s">
        <v>1174</v>
      </c>
      <c r="H78" s="2005"/>
      <c r="I78" s="2005"/>
      <c r="J78" s="2005"/>
      <c r="K78" s="2005"/>
      <c r="L78" s="2005"/>
      <c r="M78" s="2005" t="s">
        <v>533</v>
      </c>
      <c r="N78" s="2005"/>
      <c r="O78" s="2005"/>
      <c r="P78" s="2005"/>
      <c r="Q78" s="2005"/>
      <c r="R78" s="2005"/>
      <c r="S78" s="2005" t="s">
        <v>533</v>
      </c>
      <c r="T78" s="2005"/>
      <c r="U78" s="2005"/>
      <c r="V78" s="2005"/>
      <c r="W78" s="2005"/>
      <c r="X78" s="2005"/>
      <c r="Y78" s="2005" t="s">
        <v>533</v>
      </c>
    </row>
    <row r="79" spans="1:25" s="48" customFormat="1">
      <c r="A79" s="2044" t="s">
        <v>1291</v>
      </c>
      <c r="B79" s="5132"/>
      <c r="C79" s="1943" t="s">
        <v>1243</v>
      </c>
      <c r="D79" s="1938" t="s">
        <v>597</v>
      </c>
      <c r="E79" s="1938" t="s">
        <v>1206</v>
      </c>
      <c r="F79" s="1945" t="s">
        <v>1207</v>
      </c>
      <c r="G79" s="1938" t="s">
        <v>1174</v>
      </c>
      <c r="H79" s="1999"/>
      <c r="I79" s="1999"/>
      <c r="J79" s="1999"/>
      <c r="K79" s="1999"/>
      <c r="L79" s="1999"/>
      <c r="M79" s="1999" t="s">
        <v>533</v>
      </c>
      <c r="N79" s="1999"/>
      <c r="O79" s="1999"/>
      <c r="P79" s="1999"/>
      <c r="Q79" s="1999"/>
      <c r="R79" s="1999"/>
      <c r="S79" s="1999" t="s">
        <v>533</v>
      </c>
      <c r="T79" s="1999"/>
      <c r="U79" s="1999"/>
      <c r="V79" s="1999"/>
      <c r="W79" s="1999"/>
      <c r="X79" s="1999"/>
      <c r="Y79" s="1999" t="s">
        <v>533</v>
      </c>
    </row>
    <row r="80" spans="1:25" s="48" customFormat="1">
      <c r="A80" s="2044" t="s">
        <v>1291</v>
      </c>
      <c r="B80" s="5132"/>
      <c r="C80" s="1988" t="s">
        <v>1271</v>
      </c>
      <c r="D80" s="1957" t="s">
        <v>597</v>
      </c>
      <c r="E80" s="1957" t="s">
        <v>1206</v>
      </c>
      <c r="F80" s="1956" t="s">
        <v>1207</v>
      </c>
      <c r="G80" s="1957" t="s">
        <v>1174</v>
      </c>
      <c r="H80" s="2006"/>
      <c r="I80" s="2006"/>
      <c r="J80" s="2006"/>
      <c r="K80" s="2006"/>
      <c r="L80" s="2006"/>
      <c r="M80" s="2006" t="s">
        <v>533</v>
      </c>
      <c r="N80" s="2006"/>
      <c r="O80" s="2006"/>
      <c r="P80" s="2006"/>
      <c r="Q80" s="2006"/>
      <c r="R80" s="2006"/>
      <c r="S80" s="2006" t="s">
        <v>533</v>
      </c>
      <c r="T80" s="2006"/>
      <c r="U80" s="2006"/>
      <c r="V80" s="2006"/>
      <c r="W80" s="2006"/>
      <c r="X80" s="2006"/>
      <c r="Y80" s="2006" t="s">
        <v>533</v>
      </c>
    </row>
    <row r="81" spans="1:25" s="48" customFormat="1">
      <c r="A81" s="2044" t="s">
        <v>1291</v>
      </c>
      <c r="B81" s="5132"/>
      <c r="C81" s="1988" t="s">
        <v>1272</v>
      </c>
      <c r="D81" s="1957" t="s">
        <v>597</v>
      </c>
      <c r="E81" s="1957" t="s">
        <v>1206</v>
      </c>
      <c r="F81" s="1956" t="s">
        <v>1207</v>
      </c>
      <c r="G81" s="1957" t="s">
        <v>1174</v>
      </c>
      <c r="H81" s="2006"/>
      <c r="I81" s="2006"/>
      <c r="J81" s="2006"/>
      <c r="K81" s="2006"/>
      <c r="L81" s="2006"/>
      <c r="M81" s="2006" t="s">
        <v>533</v>
      </c>
      <c r="N81" s="2006"/>
      <c r="O81" s="2006"/>
      <c r="P81" s="2006"/>
      <c r="Q81" s="2006"/>
      <c r="R81" s="2006"/>
      <c r="S81" s="2006" t="s">
        <v>533</v>
      </c>
      <c r="T81" s="2006"/>
      <c r="U81" s="2006"/>
      <c r="V81" s="2006"/>
      <c r="W81" s="2006"/>
      <c r="X81" s="2006"/>
      <c r="Y81" s="2006" t="s">
        <v>533</v>
      </c>
    </row>
    <row r="82" spans="1:25" s="48" customFormat="1">
      <c r="A82" s="2044" t="s">
        <v>1291</v>
      </c>
      <c r="B82" s="5132"/>
      <c r="C82" s="1943" t="s">
        <v>1271</v>
      </c>
      <c r="D82" s="1938" t="s">
        <v>597</v>
      </c>
      <c r="E82" s="1938" t="s">
        <v>1206</v>
      </c>
      <c r="F82" s="1945" t="s">
        <v>1207</v>
      </c>
      <c r="G82" s="1938" t="s">
        <v>1174</v>
      </c>
      <c r="H82" s="1999"/>
      <c r="I82" s="1999"/>
      <c r="J82" s="1999"/>
      <c r="K82" s="1999"/>
      <c r="L82" s="1999"/>
      <c r="M82" s="1999" t="s">
        <v>533</v>
      </c>
      <c r="N82" s="1999"/>
      <c r="O82" s="1999"/>
      <c r="P82" s="1999"/>
      <c r="Q82" s="1999"/>
      <c r="R82" s="1999"/>
      <c r="S82" s="1999" t="s">
        <v>533</v>
      </c>
      <c r="T82" s="1999"/>
      <c r="U82" s="1999"/>
      <c r="V82" s="1999"/>
      <c r="W82" s="1999"/>
      <c r="X82" s="1999"/>
      <c r="Y82" s="1999" t="s">
        <v>533</v>
      </c>
    </row>
    <row r="83" spans="1:25" s="48" customFormat="1">
      <c r="A83" s="2044" t="s">
        <v>1291</v>
      </c>
      <c r="B83" s="5132"/>
      <c r="C83" s="1943" t="s">
        <v>1272</v>
      </c>
      <c r="D83" s="1938" t="s">
        <v>597</v>
      </c>
      <c r="E83" s="1938" t="s">
        <v>1206</v>
      </c>
      <c r="F83" s="1945" t="s">
        <v>1207</v>
      </c>
      <c r="G83" s="1938" t="s">
        <v>1174</v>
      </c>
      <c r="H83" s="1999"/>
      <c r="I83" s="1999"/>
      <c r="J83" s="1999"/>
      <c r="K83" s="1999"/>
      <c r="L83" s="1999"/>
      <c r="M83" s="1999" t="s">
        <v>533</v>
      </c>
      <c r="N83" s="1999"/>
      <c r="O83" s="1999"/>
      <c r="P83" s="1999"/>
      <c r="Q83" s="1999"/>
      <c r="R83" s="1999"/>
      <c r="S83" s="1999" t="s">
        <v>533</v>
      </c>
      <c r="T83" s="1999"/>
      <c r="U83" s="1999"/>
      <c r="V83" s="1999"/>
      <c r="W83" s="1999"/>
      <c r="X83" s="1999"/>
      <c r="Y83" s="1999" t="s">
        <v>533</v>
      </c>
    </row>
    <row r="84" spans="1:25" s="48" customFormat="1">
      <c r="A84" s="2043" t="s">
        <v>1288</v>
      </c>
      <c r="B84" s="5134" t="s">
        <v>1030</v>
      </c>
      <c r="C84" s="1976" t="s">
        <v>1031</v>
      </c>
      <c r="D84" s="1946" t="s">
        <v>597</v>
      </c>
      <c r="E84" s="1946" t="s">
        <v>1206</v>
      </c>
      <c r="F84" s="1946" t="s">
        <v>1207</v>
      </c>
      <c r="G84" s="1946" t="s">
        <v>1174</v>
      </c>
      <c r="H84" s="2007"/>
      <c r="I84" s="2007"/>
      <c r="J84" s="2007"/>
      <c r="K84" s="2007"/>
      <c r="L84" s="2007"/>
      <c r="M84" s="2007" t="s">
        <v>533</v>
      </c>
      <c r="N84" s="2007"/>
      <c r="O84" s="2007"/>
      <c r="P84" s="2007"/>
      <c r="Q84" s="2007"/>
      <c r="R84" s="2007"/>
      <c r="S84" s="2007" t="s">
        <v>533</v>
      </c>
      <c r="T84" s="2007"/>
      <c r="U84" s="2007"/>
      <c r="V84" s="2007"/>
      <c r="W84" s="2007"/>
      <c r="X84" s="2007"/>
      <c r="Y84" s="2007" t="s">
        <v>533</v>
      </c>
    </row>
    <row r="85" spans="1:25" s="48" customFormat="1">
      <c r="A85" s="2043" t="s">
        <v>1288</v>
      </c>
      <c r="B85" s="5134"/>
      <c r="C85" s="1941" t="s">
        <v>1245</v>
      </c>
      <c r="D85" s="1950" t="s">
        <v>597</v>
      </c>
      <c r="E85" s="1950" t="s">
        <v>1206</v>
      </c>
      <c r="F85" s="1951" t="s">
        <v>1207</v>
      </c>
      <c r="G85" s="1950" t="s">
        <v>1174</v>
      </c>
      <c r="H85" s="2007"/>
      <c r="I85" s="2007"/>
      <c r="J85" s="2007"/>
      <c r="K85" s="2007"/>
      <c r="L85" s="2007"/>
      <c r="M85" s="2007" t="s">
        <v>533</v>
      </c>
      <c r="N85" s="2007"/>
      <c r="O85" s="2007"/>
      <c r="P85" s="2007"/>
      <c r="Q85" s="2007"/>
      <c r="R85" s="2007"/>
      <c r="S85" s="2007" t="s">
        <v>533</v>
      </c>
      <c r="T85" s="2007"/>
      <c r="U85" s="2007"/>
      <c r="V85" s="2007"/>
      <c r="W85" s="2007"/>
      <c r="X85" s="2007"/>
      <c r="Y85" s="2007" t="s">
        <v>533</v>
      </c>
    </row>
    <row r="86" spans="1:25" s="48" customFormat="1">
      <c r="A86" s="2043" t="s">
        <v>1288</v>
      </c>
      <c r="B86" s="5134"/>
      <c r="C86" s="1941" t="s">
        <v>1246</v>
      </c>
      <c r="D86" s="1950" t="s">
        <v>597</v>
      </c>
      <c r="E86" s="1950" t="s">
        <v>1206</v>
      </c>
      <c r="F86" s="1950" t="s">
        <v>1207</v>
      </c>
      <c r="G86" s="1950" t="s">
        <v>1174</v>
      </c>
      <c r="H86" s="2007"/>
      <c r="I86" s="2007"/>
      <c r="J86" s="2007"/>
      <c r="K86" s="2007"/>
      <c r="L86" s="2007"/>
      <c r="M86" s="2007" t="s">
        <v>533</v>
      </c>
      <c r="N86" s="2007"/>
      <c r="O86" s="2007"/>
      <c r="P86" s="2007"/>
      <c r="Q86" s="2007"/>
      <c r="R86" s="2007"/>
      <c r="S86" s="2007" t="s">
        <v>533</v>
      </c>
      <c r="T86" s="2007"/>
      <c r="U86" s="2007"/>
      <c r="V86" s="2007"/>
      <c r="W86" s="2007"/>
      <c r="X86" s="2007"/>
      <c r="Y86" s="2007" t="s">
        <v>533</v>
      </c>
    </row>
    <row r="87" spans="1:25" s="48" customFormat="1" ht="27.6">
      <c r="A87" s="2043" t="s">
        <v>1288</v>
      </c>
      <c r="B87" s="5132" t="s">
        <v>1116</v>
      </c>
      <c r="C87" s="1947" t="s">
        <v>1247</v>
      </c>
      <c r="D87" s="1948" t="s">
        <v>597</v>
      </c>
      <c r="E87" s="1948" t="s">
        <v>1206</v>
      </c>
      <c r="F87" s="1948" t="s">
        <v>1207</v>
      </c>
      <c r="G87" s="1948" t="s">
        <v>1174</v>
      </c>
      <c r="H87" s="2004"/>
      <c r="I87" s="2004"/>
      <c r="J87" s="2004"/>
      <c r="K87" s="2004"/>
      <c r="L87" s="2004"/>
      <c r="M87" s="2004" t="s">
        <v>533</v>
      </c>
      <c r="N87" s="2004"/>
      <c r="O87" s="2004"/>
      <c r="P87" s="2004"/>
      <c r="Q87" s="2004"/>
      <c r="R87" s="2004"/>
      <c r="S87" s="2004" t="s">
        <v>533</v>
      </c>
      <c r="T87" s="2004"/>
      <c r="U87" s="2004"/>
      <c r="V87" s="2004"/>
      <c r="W87" s="2004"/>
      <c r="X87" s="2004"/>
      <c r="Y87" s="2004" t="s">
        <v>533</v>
      </c>
    </row>
    <row r="88" spans="1:25" s="48" customFormat="1" ht="27.6">
      <c r="A88" s="2043" t="s">
        <v>1288</v>
      </c>
      <c r="B88" s="5132"/>
      <c r="C88" s="1949" t="s">
        <v>1251</v>
      </c>
      <c r="D88" s="1937" t="s">
        <v>597</v>
      </c>
      <c r="E88" s="1937" t="s">
        <v>1206</v>
      </c>
      <c r="F88" s="1937" t="s">
        <v>1207</v>
      </c>
      <c r="G88" s="1937" t="s">
        <v>1174</v>
      </c>
      <c r="H88" s="2004"/>
      <c r="I88" s="2004"/>
      <c r="J88" s="2004"/>
      <c r="K88" s="2004"/>
      <c r="L88" s="2004"/>
      <c r="M88" s="2004" t="s">
        <v>533</v>
      </c>
      <c r="N88" s="2004"/>
      <c r="O88" s="2004"/>
      <c r="P88" s="2004"/>
      <c r="Q88" s="2004"/>
      <c r="R88" s="2004"/>
      <c r="S88" s="2004" t="s">
        <v>533</v>
      </c>
      <c r="T88" s="2004"/>
      <c r="U88" s="2004"/>
      <c r="V88" s="2004"/>
      <c r="W88" s="2004"/>
      <c r="X88" s="2004"/>
      <c r="Y88" s="2004" t="s">
        <v>533</v>
      </c>
    </row>
    <row r="89" spans="1:25" s="48" customFormat="1" ht="27.6">
      <c r="A89" s="2043" t="s">
        <v>1288</v>
      </c>
      <c r="B89" s="5132"/>
      <c r="C89" s="1949" t="s">
        <v>1252</v>
      </c>
      <c r="D89" s="1937" t="s">
        <v>597</v>
      </c>
      <c r="E89" s="1937" t="s">
        <v>1206</v>
      </c>
      <c r="F89" s="1937" t="s">
        <v>1207</v>
      </c>
      <c r="G89" s="1937" t="s">
        <v>1174</v>
      </c>
      <c r="H89" s="2004"/>
      <c r="I89" s="2004"/>
      <c r="J89" s="2004"/>
      <c r="K89" s="2004"/>
      <c r="L89" s="2004"/>
      <c r="M89" s="2004" t="s">
        <v>533</v>
      </c>
      <c r="N89" s="2004"/>
      <c r="O89" s="2004"/>
      <c r="P89" s="2004"/>
      <c r="Q89" s="2004"/>
      <c r="R89" s="2004"/>
      <c r="S89" s="2004" t="s">
        <v>533</v>
      </c>
      <c r="T89" s="2004"/>
      <c r="U89" s="2004"/>
      <c r="V89" s="2004"/>
      <c r="W89" s="2004"/>
      <c r="X89" s="2004"/>
      <c r="Y89" s="2004" t="s">
        <v>533</v>
      </c>
    </row>
    <row r="90" spans="1:25" s="48" customFormat="1">
      <c r="A90" s="2043" t="s">
        <v>1288</v>
      </c>
      <c r="B90" s="5123" t="s">
        <v>1117</v>
      </c>
      <c r="C90" s="1958" t="s">
        <v>1248</v>
      </c>
      <c r="D90" s="1959" t="s">
        <v>597</v>
      </c>
      <c r="E90" s="1959" t="s">
        <v>1206</v>
      </c>
      <c r="F90" s="1959" t="s">
        <v>1207</v>
      </c>
      <c r="G90" s="1959" t="s">
        <v>1174</v>
      </c>
      <c r="H90" s="2008"/>
      <c r="I90" s="2008"/>
      <c r="J90" s="2008"/>
      <c r="K90" s="2008"/>
      <c r="L90" s="2008"/>
      <c r="M90" s="2008" t="s">
        <v>533</v>
      </c>
      <c r="N90" s="2008"/>
      <c r="O90" s="2008"/>
      <c r="P90" s="2008"/>
      <c r="Q90" s="2008"/>
      <c r="R90" s="2008"/>
      <c r="S90" s="2008" t="s">
        <v>533</v>
      </c>
      <c r="T90" s="2008"/>
      <c r="U90" s="2008"/>
      <c r="V90" s="2008"/>
      <c r="W90" s="2008"/>
      <c r="X90" s="2008"/>
      <c r="Y90" s="2008" t="s">
        <v>533</v>
      </c>
    </row>
    <row r="91" spans="1:25" s="48" customFormat="1" ht="27.6">
      <c r="A91" s="2043" t="s">
        <v>1288</v>
      </c>
      <c r="B91" s="5123"/>
      <c r="C91" s="1960" t="s">
        <v>1249</v>
      </c>
      <c r="D91" s="1961" t="s">
        <v>597</v>
      </c>
      <c r="E91" s="1961" t="s">
        <v>1206</v>
      </c>
      <c r="F91" s="1961" t="s">
        <v>1207</v>
      </c>
      <c r="G91" s="1961" t="s">
        <v>1174</v>
      </c>
      <c r="H91" s="2008"/>
      <c r="I91" s="2008"/>
      <c r="J91" s="2008"/>
      <c r="K91" s="2008"/>
      <c r="L91" s="2008"/>
      <c r="M91" s="2008" t="s">
        <v>533</v>
      </c>
      <c r="N91" s="2008"/>
      <c r="O91" s="2008"/>
      <c r="P91" s="2008"/>
      <c r="Q91" s="2008"/>
      <c r="R91" s="2008"/>
      <c r="S91" s="2008" t="s">
        <v>533</v>
      </c>
      <c r="T91" s="2008"/>
      <c r="U91" s="2008"/>
      <c r="V91" s="2008"/>
      <c r="W91" s="2008"/>
      <c r="X91" s="2008"/>
      <c r="Y91" s="2008" t="s">
        <v>533</v>
      </c>
    </row>
    <row r="92" spans="1:25" s="48" customFormat="1">
      <c r="A92" s="2043" t="s">
        <v>1288</v>
      </c>
      <c r="B92" s="5123"/>
      <c r="C92" s="1960" t="s">
        <v>1250</v>
      </c>
      <c r="D92" s="1961" t="s">
        <v>597</v>
      </c>
      <c r="E92" s="1961" t="s">
        <v>1206</v>
      </c>
      <c r="F92" s="1961" t="s">
        <v>1207</v>
      </c>
      <c r="G92" s="1961" t="s">
        <v>1174</v>
      </c>
      <c r="H92" s="2008"/>
      <c r="I92" s="2008"/>
      <c r="J92" s="2008"/>
      <c r="K92" s="2008"/>
      <c r="L92" s="2008"/>
      <c r="M92" s="2008" t="s">
        <v>533</v>
      </c>
      <c r="N92" s="2008"/>
      <c r="O92" s="2008"/>
      <c r="P92" s="2008"/>
      <c r="Q92" s="2008"/>
      <c r="R92" s="2008"/>
      <c r="S92" s="2008" t="s">
        <v>533</v>
      </c>
      <c r="T92" s="2008"/>
      <c r="U92" s="2008"/>
      <c r="V92" s="2008"/>
      <c r="W92" s="2008"/>
      <c r="X92" s="2008"/>
      <c r="Y92" s="2008" t="s">
        <v>533</v>
      </c>
    </row>
    <row r="93" spans="1:25" s="2126" customFormat="1">
      <c r="A93" s="2127" t="s">
        <v>1296</v>
      </c>
      <c r="B93" s="5133" t="s">
        <v>1099</v>
      </c>
      <c r="C93" s="2128" t="s">
        <v>1255</v>
      </c>
      <c r="D93" s="2124" t="s">
        <v>1256</v>
      </c>
      <c r="E93" s="2124" t="s">
        <v>1146</v>
      </c>
      <c r="F93" s="2129" t="s">
        <v>1346</v>
      </c>
      <c r="G93" s="2124" t="s">
        <v>1257</v>
      </c>
      <c r="H93" s="2125"/>
      <c r="I93" s="2125"/>
      <c r="J93" s="2125"/>
      <c r="K93" s="2125"/>
      <c r="L93" s="2125"/>
      <c r="M93" s="2125"/>
      <c r="N93" s="2125"/>
      <c r="O93" s="2125"/>
      <c r="P93" s="2125"/>
      <c r="Q93" s="2125"/>
      <c r="R93" s="2125" t="s">
        <v>1347</v>
      </c>
      <c r="S93" s="2125"/>
      <c r="T93" s="2125"/>
      <c r="U93" s="2125"/>
      <c r="V93" s="2125"/>
      <c r="W93" s="2125"/>
      <c r="X93" s="2125"/>
      <c r="Y93" s="2125"/>
    </row>
    <row r="94" spans="1:25" s="2126" customFormat="1">
      <c r="A94" s="2127" t="s">
        <v>1296</v>
      </c>
      <c r="B94" s="5133"/>
      <c r="C94" s="2123" t="s">
        <v>1258</v>
      </c>
      <c r="D94" s="2124" t="s">
        <v>1256</v>
      </c>
      <c r="E94" s="2124" t="s">
        <v>1146</v>
      </c>
      <c r="F94" s="2129" t="s">
        <v>1346</v>
      </c>
      <c r="G94" s="2124" t="s">
        <v>1257</v>
      </c>
      <c r="H94" s="2125"/>
      <c r="I94" s="2125"/>
      <c r="J94" s="2125"/>
      <c r="K94" s="2125"/>
      <c r="L94" s="2125"/>
      <c r="M94" s="2125"/>
      <c r="N94" s="2125"/>
      <c r="O94" s="2125"/>
      <c r="P94" s="2125"/>
      <c r="Q94" s="2125"/>
      <c r="R94" s="2125" t="s">
        <v>1347</v>
      </c>
      <c r="S94" s="2125"/>
      <c r="T94" s="2125"/>
      <c r="U94" s="2125"/>
      <c r="V94" s="2125"/>
      <c r="W94" s="2125"/>
      <c r="X94" s="2125"/>
      <c r="Y94" s="2125"/>
    </row>
    <row r="95" spans="1:25" s="2126" customFormat="1">
      <c r="A95" s="2127"/>
      <c r="B95" s="5133"/>
      <c r="C95" s="2123"/>
      <c r="D95" s="2124"/>
      <c r="E95" s="2124"/>
      <c r="F95" s="2129"/>
      <c r="G95" s="2124"/>
      <c r="H95" s="2125"/>
      <c r="I95" s="2125"/>
      <c r="J95" s="2125"/>
      <c r="K95" s="2125"/>
      <c r="L95" s="2125"/>
      <c r="M95" s="2125"/>
      <c r="N95" s="2125"/>
      <c r="O95" s="2125"/>
      <c r="P95" s="2125"/>
      <c r="Q95" s="2125"/>
      <c r="R95" s="2125"/>
      <c r="S95" s="2125"/>
      <c r="T95" s="2125"/>
      <c r="U95" s="2125"/>
      <c r="V95" s="2125"/>
      <c r="W95" s="2125"/>
      <c r="X95" s="2125"/>
      <c r="Y95" s="2125"/>
    </row>
    <row r="96" spans="1:25" s="2126" customFormat="1">
      <c r="A96" s="2127" t="s">
        <v>1296</v>
      </c>
      <c r="B96" s="5133"/>
      <c r="C96" s="2123" t="s">
        <v>1259</v>
      </c>
      <c r="D96" s="2124" t="s">
        <v>1256</v>
      </c>
      <c r="E96" s="2124" t="s">
        <v>1146</v>
      </c>
      <c r="F96" s="2129" t="s">
        <v>1346</v>
      </c>
      <c r="G96" s="2124" t="s">
        <v>1257</v>
      </c>
      <c r="H96" s="2125"/>
      <c r="I96" s="2125"/>
      <c r="J96" s="2125"/>
      <c r="K96" s="2125"/>
      <c r="L96" s="2125"/>
      <c r="M96" s="2125"/>
      <c r="N96" s="2125"/>
      <c r="O96" s="2125"/>
      <c r="P96" s="2125"/>
      <c r="Q96" s="2125"/>
      <c r="R96" s="2125" t="s">
        <v>1347</v>
      </c>
      <c r="S96" s="2125"/>
      <c r="T96" s="2125"/>
      <c r="U96" s="2125"/>
      <c r="V96" s="2125"/>
      <c r="W96" s="2125"/>
      <c r="X96" s="2125"/>
      <c r="Y96" s="2125"/>
    </row>
    <row r="97" spans="1:25" s="2126" customFormat="1" ht="27.6">
      <c r="A97" s="2127" t="s">
        <v>1296</v>
      </c>
      <c r="B97" s="2122" t="s">
        <v>1386</v>
      </c>
      <c r="C97" s="2123"/>
      <c r="D97" s="2124"/>
      <c r="E97" s="2124"/>
      <c r="F97" s="2129"/>
      <c r="G97" s="2124"/>
      <c r="H97" s="2125"/>
      <c r="I97" s="2125"/>
      <c r="J97" s="2125"/>
      <c r="K97" s="2125"/>
      <c r="L97" s="2125"/>
      <c r="M97" s="2125"/>
      <c r="N97" s="2125"/>
      <c r="O97" s="2125"/>
      <c r="P97" s="2125"/>
      <c r="Q97" s="2125"/>
      <c r="R97" s="2125"/>
      <c r="S97" s="2125"/>
      <c r="T97" s="2125"/>
      <c r="U97" s="2125"/>
      <c r="V97" s="2125"/>
      <c r="W97" s="2125"/>
      <c r="X97" s="2125"/>
      <c r="Y97" s="2125"/>
    </row>
    <row r="98" spans="1:25" s="2126" customFormat="1" ht="27.6">
      <c r="A98" s="2127" t="s">
        <v>1296</v>
      </c>
      <c r="B98" s="2122" t="s">
        <v>1387</v>
      </c>
      <c r="C98" s="2123"/>
      <c r="D98" s="2124"/>
      <c r="E98" s="2124"/>
      <c r="F98" s="2129"/>
      <c r="G98" s="2124"/>
      <c r="H98" s="2125"/>
      <c r="I98" s="2125"/>
      <c r="J98" s="2125"/>
      <c r="K98" s="2125"/>
      <c r="L98" s="2125"/>
      <c r="M98" s="2125"/>
      <c r="N98" s="2125"/>
      <c r="O98" s="2125"/>
      <c r="P98" s="2125"/>
      <c r="Q98" s="2125"/>
      <c r="R98" s="2125"/>
      <c r="S98" s="2125"/>
      <c r="T98" s="2125"/>
      <c r="U98" s="2125"/>
      <c r="V98" s="2125"/>
      <c r="W98" s="2125"/>
      <c r="X98" s="2125"/>
      <c r="Y98" s="2125"/>
    </row>
    <row r="99" spans="1:25" s="2126" customFormat="1">
      <c r="A99" s="2127"/>
      <c r="B99" s="2122"/>
      <c r="C99" s="2123"/>
      <c r="D99" s="2124"/>
      <c r="E99" s="2124"/>
      <c r="F99" s="2129"/>
      <c r="G99" s="2124"/>
      <c r="H99" s="2125"/>
      <c r="I99" s="2125"/>
      <c r="J99" s="2125"/>
      <c r="K99" s="2125"/>
      <c r="L99" s="2125"/>
      <c r="M99" s="2125"/>
      <c r="N99" s="2125"/>
      <c r="O99" s="2125"/>
      <c r="P99" s="2125"/>
      <c r="Q99" s="2125"/>
      <c r="R99" s="2125"/>
      <c r="S99" s="2125"/>
      <c r="T99" s="2125"/>
      <c r="U99" s="2125"/>
      <c r="V99" s="2125"/>
      <c r="W99" s="2125"/>
      <c r="X99" s="2125"/>
      <c r="Y99" s="2125"/>
    </row>
    <row r="100" spans="1:25" s="2126" customFormat="1">
      <c r="A100" s="2127"/>
      <c r="B100" s="2122"/>
      <c r="C100" s="2123"/>
      <c r="D100" s="2124"/>
      <c r="E100" s="2124"/>
      <c r="F100" s="2129"/>
      <c r="G100" s="2124"/>
      <c r="H100" s="2125"/>
      <c r="I100" s="2125"/>
      <c r="J100" s="2125"/>
      <c r="K100" s="2125"/>
      <c r="L100" s="2125"/>
      <c r="M100" s="2125"/>
      <c r="N100" s="2125"/>
      <c r="O100" s="2125"/>
      <c r="P100" s="2125"/>
      <c r="Q100" s="2125"/>
      <c r="R100" s="2125"/>
      <c r="S100" s="2125"/>
      <c r="T100" s="2125"/>
      <c r="U100" s="2125"/>
      <c r="V100" s="2125"/>
      <c r="W100" s="2125"/>
      <c r="X100" s="2125"/>
      <c r="Y100" s="2125"/>
    </row>
    <row r="101" spans="1:25" s="48" customFormat="1" ht="27.6">
      <c r="A101" s="2039" t="s">
        <v>1289</v>
      </c>
      <c r="B101" s="5123" t="s">
        <v>1269</v>
      </c>
      <c r="C101" s="132" t="s">
        <v>1261</v>
      </c>
      <c r="D101" s="1942" t="s">
        <v>597</v>
      </c>
      <c r="E101" s="1942" t="s">
        <v>1146</v>
      </c>
      <c r="F101" s="1942" t="s">
        <v>1260</v>
      </c>
      <c r="G101" s="1942" t="s">
        <v>1180</v>
      </c>
      <c r="H101" s="2009"/>
      <c r="I101" s="2009"/>
      <c r="J101" s="2009"/>
      <c r="K101" s="2009"/>
      <c r="L101" s="2009"/>
      <c r="M101" s="2009"/>
      <c r="N101" s="2009"/>
      <c r="O101" s="2009" t="s">
        <v>533</v>
      </c>
      <c r="P101" s="2009"/>
      <c r="Q101" s="2009"/>
      <c r="R101" s="2009"/>
      <c r="S101" s="2009"/>
      <c r="T101" s="2009"/>
      <c r="U101" s="2009"/>
      <c r="V101" s="2009"/>
      <c r="W101" s="2009"/>
      <c r="X101" s="2009"/>
      <c r="Y101" s="2009"/>
    </row>
    <row r="102" spans="1:25" s="48" customFormat="1" ht="27.6">
      <c r="A102" s="2039" t="s">
        <v>1289</v>
      </c>
      <c r="B102" s="5123"/>
      <c r="C102" s="132" t="s">
        <v>1262</v>
      </c>
      <c r="D102" s="1942" t="s">
        <v>597</v>
      </c>
      <c r="E102" s="1942" t="s">
        <v>1146</v>
      </c>
      <c r="F102" s="1942" t="s">
        <v>1260</v>
      </c>
      <c r="G102" s="1942" t="s">
        <v>1180</v>
      </c>
      <c r="H102" s="2009"/>
      <c r="I102" s="2009"/>
      <c r="J102" s="2009"/>
      <c r="K102" s="2009"/>
      <c r="L102" s="2009"/>
      <c r="M102" s="2009"/>
      <c r="N102" s="2009"/>
      <c r="O102" s="2009"/>
      <c r="P102" s="2009" t="s">
        <v>533</v>
      </c>
      <c r="Q102" s="2009"/>
      <c r="R102" s="2009"/>
      <c r="S102" s="2009"/>
      <c r="T102" s="2009"/>
      <c r="U102" s="2009"/>
      <c r="V102" s="2009"/>
      <c r="W102" s="2009"/>
      <c r="X102" s="2009"/>
      <c r="Y102" s="2009"/>
    </row>
    <row r="103" spans="1:25" s="48" customFormat="1" ht="27.6">
      <c r="A103" s="2039" t="s">
        <v>1289</v>
      </c>
      <c r="B103" s="5123"/>
      <c r="C103" s="132" t="s">
        <v>1263</v>
      </c>
      <c r="D103" s="1942" t="s">
        <v>597</v>
      </c>
      <c r="E103" s="1942" t="s">
        <v>1146</v>
      </c>
      <c r="F103" s="1942" t="s">
        <v>1260</v>
      </c>
      <c r="G103" s="1942" t="s">
        <v>1180</v>
      </c>
      <c r="H103" s="2009"/>
      <c r="I103" s="2009"/>
      <c r="J103" s="2009"/>
      <c r="K103" s="2009"/>
      <c r="L103" s="2009"/>
      <c r="M103" s="2009"/>
      <c r="N103" s="2009"/>
      <c r="O103" s="2009"/>
      <c r="P103" s="2009"/>
      <c r="Q103" s="2009" t="s">
        <v>533</v>
      </c>
      <c r="R103" s="2009"/>
      <c r="S103" s="2009"/>
      <c r="T103" s="2009"/>
      <c r="U103" s="2009"/>
      <c r="V103" s="2009"/>
      <c r="W103" s="2009"/>
      <c r="X103" s="2009"/>
      <c r="Y103" s="2009"/>
    </row>
    <row r="104" spans="1:25" s="48" customFormat="1" ht="27.6">
      <c r="A104" s="2039" t="s">
        <v>1289</v>
      </c>
      <c r="B104" s="5123"/>
      <c r="C104" s="132" t="s">
        <v>1264</v>
      </c>
      <c r="D104" s="1942" t="s">
        <v>597</v>
      </c>
      <c r="E104" s="1942" t="s">
        <v>1146</v>
      </c>
      <c r="F104" s="1942" t="s">
        <v>1260</v>
      </c>
      <c r="G104" s="1942" t="s">
        <v>1180</v>
      </c>
      <c r="H104" s="2009"/>
      <c r="I104" s="2009"/>
      <c r="J104" s="2009"/>
      <c r="K104" s="2009"/>
      <c r="L104" s="2009"/>
      <c r="M104" s="2009"/>
      <c r="N104" s="2009"/>
      <c r="O104" s="2009"/>
      <c r="P104" s="2009"/>
      <c r="Q104" s="2009"/>
      <c r="R104" s="2009" t="s">
        <v>533</v>
      </c>
      <c r="S104" s="2009"/>
      <c r="T104" s="2009"/>
      <c r="U104" s="2009"/>
      <c r="V104" s="2009"/>
      <c r="W104" s="2009"/>
      <c r="X104" s="2009"/>
      <c r="Y104" s="2009"/>
    </row>
    <row r="105" spans="1:25" s="48" customFormat="1" ht="27.6">
      <c r="A105" s="2039" t="s">
        <v>1289</v>
      </c>
      <c r="B105" s="5123"/>
      <c r="C105" s="132" t="s">
        <v>1265</v>
      </c>
      <c r="D105" s="1942" t="s">
        <v>597</v>
      </c>
      <c r="E105" s="1942" t="s">
        <v>1146</v>
      </c>
      <c r="F105" s="1942" t="s">
        <v>1260</v>
      </c>
      <c r="G105" s="1942" t="s">
        <v>1180</v>
      </c>
      <c r="H105" s="2009"/>
      <c r="I105" s="2009"/>
      <c r="J105" s="2009"/>
      <c r="K105" s="2009"/>
      <c r="L105" s="2009"/>
      <c r="M105" s="2009"/>
      <c r="N105" s="2009"/>
      <c r="O105" s="2009"/>
      <c r="P105" s="2009"/>
      <c r="Q105" s="2009"/>
      <c r="R105" s="2009"/>
      <c r="S105" s="2009"/>
      <c r="T105" s="2009" t="s">
        <v>533</v>
      </c>
      <c r="U105" s="2009"/>
      <c r="V105" s="2009"/>
      <c r="W105" s="2009" t="s">
        <v>533</v>
      </c>
      <c r="X105" s="2009"/>
      <c r="Y105" s="2009"/>
    </row>
    <row r="106" spans="1:25" s="48" customFormat="1">
      <c r="A106" s="2039" t="s">
        <v>1289</v>
      </c>
      <c r="B106" s="5123"/>
      <c r="C106" s="132" t="s">
        <v>1266</v>
      </c>
      <c r="D106" s="1942" t="s">
        <v>597</v>
      </c>
      <c r="E106" s="1942" t="s">
        <v>1146</v>
      </c>
      <c r="F106" s="1942" t="s">
        <v>1260</v>
      </c>
      <c r="G106" s="1942" t="s">
        <v>1180</v>
      </c>
      <c r="H106" s="2009"/>
      <c r="I106" s="2009"/>
      <c r="J106" s="2009"/>
      <c r="K106" s="2009"/>
      <c r="L106" s="2009"/>
      <c r="M106" s="2009"/>
      <c r="N106" s="2009"/>
      <c r="O106" s="2009"/>
      <c r="P106" s="2009"/>
      <c r="Q106" s="2009"/>
      <c r="R106" s="2009"/>
      <c r="S106" s="2009"/>
      <c r="T106" s="2009"/>
      <c r="U106" s="2009"/>
      <c r="V106" s="2009"/>
      <c r="W106" s="2009"/>
      <c r="X106" s="2009" t="s">
        <v>533</v>
      </c>
      <c r="Y106" s="2009"/>
    </row>
    <row r="107" spans="1:25" s="48" customFormat="1" ht="27.6">
      <c r="A107" s="2039" t="s">
        <v>1289</v>
      </c>
      <c r="B107" s="5123"/>
      <c r="C107" s="132" t="s">
        <v>1267</v>
      </c>
      <c r="D107" s="1942" t="s">
        <v>597</v>
      </c>
      <c r="E107" s="1942" t="s">
        <v>1146</v>
      </c>
      <c r="F107" s="1942" t="s">
        <v>1260</v>
      </c>
      <c r="G107" s="1942" t="s">
        <v>1180</v>
      </c>
      <c r="H107" s="2009"/>
      <c r="I107" s="2009"/>
      <c r="J107" s="2009"/>
      <c r="K107" s="2009"/>
      <c r="L107" s="2009"/>
      <c r="M107" s="2009"/>
      <c r="N107" s="2009"/>
      <c r="O107" s="2009"/>
      <c r="P107" s="2009"/>
      <c r="Q107" s="2009"/>
      <c r="R107" s="2009"/>
      <c r="S107" s="2009"/>
      <c r="T107" s="2009"/>
      <c r="U107" s="2009"/>
      <c r="V107" s="2009"/>
      <c r="W107" s="2009"/>
      <c r="X107" s="2009" t="s">
        <v>533</v>
      </c>
      <c r="Y107" s="2009"/>
    </row>
    <row r="108" spans="1:25" s="48" customFormat="1">
      <c r="A108" s="2039" t="s">
        <v>1289</v>
      </c>
      <c r="B108" s="5123"/>
      <c r="C108" s="132" t="s">
        <v>1268</v>
      </c>
      <c r="D108" s="1942" t="s">
        <v>597</v>
      </c>
      <c r="E108" s="1942" t="s">
        <v>1146</v>
      </c>
      <c r="F108" s="1942" t="s">
        <v>1260</v>
      </c>
      <c r="G108" s="1942" t="s">
        <v>1180</v>
      </c>
      <c r="H108" s="2009"/>
      <c r="I108" s="2009"/>
      <c r="J108" s="2009"/>
      <c r="K108" s="2009"/>
      <c r="L108" s="2009"/>
      <c r="M108" s="2009"/>
      <c r="N108" s="2009"/>
      <c r="O108" s="2009"/>
      <c r="P108" s="2009"/>
      <c r="Q108" s="2009"/>
      <c r="R108" s="2009"/>
      <c r="S108" s="2009"/>
      <c r="T108" s="2009"/>
      <c r="U108" s="2009"/>
      <c r="V108" s="2009"/>
      <c r="W108" s="2009"/>
      <c r="X108" s="2009"/>
      <c r="Y108" s="2009"/>
    </row>
    <row r="109" spans="1:25" s="48" customFormat="1">
      <c r="A109" s="2041" t="s">
        <v>1290</v>
      </c>
      <c r="B109" s="2046" t="s">
        <v>1273</v>
      </c>
      <c r="C109" s="2011" t="s">
        <v>1274</v>
      </c>
      <c r="D109" s="2012" t="s">
        <v>597</v>
      </c>
      <c r="E109" s="2012" t="s">
        <v>1188</v>
      </c>
      <c r="F109" s="2013" t="s">
        <v>1275</v>
      </c>
      <c r="G109" s="2012" t="s">
        <v>1180</v>
      </c>
      <c r="H109" s="2014" t="s">
        <v>533</v>
      </c>
      <c r="I109" s="2014" t="s">
        <v>533</v>
      </c>
      <c r="J109" s="2014" t="s">
        <v>533</v>
      </c>
      <c r="K109" s="2014" t="s">
        <v>533</v>
      </c>
      <c r="L109" s="2014" t="s">
        <v>533</v>
      </c>
      <c r="M109" s="2014" t="s">
        <v>533</v>
      </c>
      <c r="N109" s="2014" t="s">
        <v>533</v>
      </c>
      <c r="O109" s="2014" t="s">
        <v>533</v>
      </c>
      <c r="P109" s="2014" t="s">
        <v>533</v>
      </c>
      <c r="Q109" s="2014" t="s">
        <v>533</v>
      </c>
      <c r="R109" s="2014" t="s">
        <v>533</v>
      </c>
      <c r="S109" s="2014" t="s">
        <v>533</v>
      </c>
      <c r="T109" s="2014" t="s">
        <v>533</v>
      </c>
      <c r="U109" s="2014" t="s">
        <v>533</v>
      </c>
      <c r="V109" s="2014" t="s">
        <v>533</v>
      </c>
      <c r="W109" s="2014" t="s">
        <v>533</v>
      </c>
      <c r="X109" s="2014" t="s">
        <v>533</v>
      </c>
      <c r="Y109" s="2014" t="s">
        <v>533</v>
      </c>
    </row>
    <row r="110" spans="1:25" s="48" customFormat="1">
      <c r="A110" s="2035" t="s">
        <v>1296</v>
      </c>
      <c r="B110" s="5138" t="s">
        <v>1285</v>
      </c>
      <c r="C110" s="2015" t="s">
        <v>1276</v>
      </c>
      <c r="D110" s="1977" t="s">
        <v>1163</v>
      </c>
      <c r="E110" s="2016" t="s">
        <v>1188</v>
      </c>
      <c r="F110" s="2017" t="s">
        <v>1275</v>
      </c>
      <c r="G110" s="1977" t="s">
        <v>1284</v>
      </c>
      <c r="H110" s="2018" t="s">
        <v>533</v>
      </c>
      <c r="I110" s="2018" t="s">
        <v>533</v>
      </c>
      <c r="J110" s="2018" t="s">
        <v>533</v>
      </c>
      <c r="K110" s="2018" t="s">
        <v>533</v>
      </c>
      <c r="L110" s="2018" t="s">
        <v>533</v>
      </c>
      <c r="M110" s="2018" t="s">
        <v>533</v>
      </c>
      <c r="N110" s="2018" t="s">
        <v>533</v>
      </c>
      <c r="O110" s="2018" t="s">
        <v>533</v>
      </c>
      <c r="P110" s="2018" t="s">
        <v>533</v>
      </c>
      <c r="Q110" s="2018" t="s">
        <v>533</v>
      </c>
      <c r="R110" s="2018" t="s">
        <v>533</v>
      </c>
      <c r="S110" s="2018" t="s">
        <v>533</v>
      </c>
      <c r="T110" s="2018" t="s">
        <v>533</v>
      </c>
      <c r="U110" s="2018" t="s">
        <v>533</v>
      </c>
      <c r="V110" s="2018" t="s">
        <v>533</v>
      </c>
      <c r="W110" s="2018" t="s">
        <v>533</v>
      </c>
      <c r="X110" s="2018" t="s">
        <v>533</v>
      </c>
      <c r="Y110" s="2018" t="s">
        <v>533</v>
      </c>
    </row>
    <row r="111" spans="1:25" s="48" customFormat="1">
      <c r="A111" s="2035" t="s">
        <v>1296</v>
      </c>
      <c r="B111" s="5138"/>
      <c r="C111" s="2015" t="s">
        <v>1277</v>
      </c>
      <c r="D111" s="1977" t="s">
        <v>1163</v>
      </c>
      <c r="E111" s="2016" t="s">
        <v>1188</v>
      </c>
      <c r="F111" s="2017" t="s">
        <v>1275</v>
      </c>
      <c r="G111" s="1977" t="s">
        <v>1284</v>
      </c>
      <c r="H111" s="2018" t="s">
        <v>533</v>
      </c>
      <c r="I111" s="2018" t="s">
        <v>533</v>
      </c>
      <c r="J111" s="2018" t="s">
        <v>533</v>
      </c>
      <c r="K111" s="2018" t="s">
        <v>533</v>
      </c>
      <c r="L111" s="2018" t="s">
        <v>533</v>
      </c>
      <c r="M111" s="2018" t="s">
        <v>533</v>
      </c>
      <c r="N111" s="2018" t="s">
        <v>533</v>
      </c>
      <c r="O111" s="2018" t="s">
        <v>533</v>
      </c>
      <c r="P111" s="2018" t="s">
        <v>533</v>
      </c>
      <c r="Q111" s="2018" t="s">
        <v>533</v>
      </c>
      <c r="R111" s="2018" t="s">
        <v>533</v>
      </c>
      <c r="S111" s="2018" t="s">
        <v>533</v>
      </c>
      <c r="T111" s="2018" t="s">
        <v>533</v>
      </c>
      <c r="U111" s="2018" t="s">
        <v>533</v>
      </c>
      <c r="V111" s="2018" t="s">
        <v>533</v>
      </c>
      <c r="W111" s="2018" t="s">
        <v>533</v>
      </c>
      <c r="X111" s="2018" t="s">
        <v>533</v>
      </c>
      <c r="Y111" s="2018" t="s">
        <v>533</v>
      </c>
    </row>
    <row r="112" spans="1:25" s="48" customFormat="1">
      <c r="A112" s="2035" t="s">
        <v>1296</v>
      </c>
      <c r="B112" s="5138"/>
      <c r="C112" s="2015" t="s">
        <v>1278</v>
      </c>
      <c r="D112" s="2019" t="s">
        <v>1163</v>
      </c>
      <c r="E112" s="2016" t="s">
        <v>1188</v>
      </c>
      <c r="F112" s="2017" t="s">
        <v>1275</v>
      </c>
      <c r="G112" s="1977" t="s">
        <v>1284</v>
      </c>
      <c r="H112" s="2018" t="s">
        <v>533</v>
      </c>
      <c r="I112" s="2018" t="s">
        <v>533</v>
      </c>
      <c r="J112" s="2018" t="s">
        <v>533</v>
      </c>
      <c r="K112" s="2018" t="s">
        <v>533</v>
      </c>
      <c r="L112" s="2018" t="s">
        <v>533</v>
      </c>
      <c r="M112" s="2018" t="s">
        <v>533</v>
      </c>
      <c r="N112" s="2018" t="s">
        <v>533</v>
      </c>
      <c r="O112" s="2018" t="s">
        <v>533</v>
      </c>
      <c r="P112" s="2018" t="s">
        <v>533</v>
      </c>
      <c r="Q112" s="2018" t="s">
        <v>533</v>
      </c>
      <c r="R112" s="2018" t="s">
        <v>533</v>
      </c>
      <c r="S112" s="2018" t="s">
        <v>533</v>
      </c>
      <c r="T112" s="2018" t="s">
        <v>533</v>
      </c>
      <c r="U112" s="2018" t="s">
        <v>533</v>
      </c>
      <c r="V112" s="2018" t="s">
        <v>533</v>
      </c>
      <c r="W112" s="2018" t="s">
        <v>533</v>
      </c>
      <c r="X112" s="2018" t="s">
        <v>533</v>
      </c>
      <c r="Y112" s="2018" t="s">
        <v>533</v>
      </c>
    </row>
    <row r="113" spans="1:25" s="48" customFormat="1">
      <c r="A113" s="2035" t="s">
        <v>1296</v>
      </c>
      <c r="B113" s="5138"/>
      <c r="C113" s="2015" t="s">
        <v>1279</v>
      </c>
      <c r="D113" s="2019" t="s">
        <v>1163</v>
      </c>
      <c r="E113" s="2016" t="s">
        <v>1188</v>
      </c>
      <c r="F113" s="2017" t="s">
        <v>1275</v>
      </c>
      <c r="G113" s="1977" t="s">
        <v>1284</v>
      </c>
      <c r="H113" s="2018" t="s">
        <v>533</v>
      </c>
      <c r="I113" s="2018" t="s">
        <v>533</v>
      </c>
      <c r="J113" s="2018" t="s">
        <v>533</v>
      </c>
      <c r="K113" s="2018" t="s">
        <v>533</v>
      </c>
      <c r="L113" s="2018" t="s">
        <v>533</v>
      </c>
      <c r="M113" s="2018" t="s">
        <v>533</v>
      </c>
      <c r="N113" s="2018" t="s">
        <v>533</v>
      </c>
      <c r="O113" s="2018" t="s">
        <v>533</v>
      </c>
      <c r="P113" s="2018" t="s">
        <v>533</v>
      </c>
      <c r="Q113" s="2018" t="s">
        <v>533</v>
      </c>
      <c r="R113" s="2018" t="s">
        <v>533</v>
      </c>
      <c r="S113" s="2018" t="s">
        <v>533</v>
      </c>
      <c r="T113" s="2018" t="s">
        <v>533</v>
      </c>
      <c r="U113" s="2018" t="s">
        <v>533</v>
      </c>
      <c r="V113" s="2018" t="s">
        <v>533</v>
      </c>
      <c r="W113" s="2018" t="s">
        <v>533</v>
      </c>
      <c r="X113" s="2018" t="s">
        <v>533</v>
      </c>
      <c r="Y113" s="2018" t="s">
        <v>533</v>
      </c>
    </row>
    <row r="114" spans="1:25" s="48" customFormat="1">
      <c r="A114" s="2035" t="s">
        <v>1296</v>
      </c>
      <c r="B114" s="5138"/>
      <c r="C114" s="2015" t="s">
        <v>1280</v>
      </c>
      <c r="D114" s="2019" t="s">
        <v>1163</v>
      </c>
      <c r="E114" s="2020" t="s">
        <v>1188</v>
      </c>
      <c r="F114" s="2017" t="s">
        <v>1275</v>
      </c>
      <c r="G114" s="1977" t="s">
        <v>1284</v>
      </c>
      <c r="H114" s="2018" t="s">
        <v>533</v>
      </c>
      <c r="I114" s="2018" t="s">
        <v>533</v>
      </c>
      <c r="J114" s="2018" t="s">
        <v>533</v>
      </c>
      <c r="K114" s="2018" t="s">
        <v>533</v>
      </c>
      <c r="L114" s="2018" t="s">
        <v>533</v>
      </c>
      <c r="M114" s="2018" t="s">
        <v>533</v>
      </c>
      <c r="N114" s="2018" t="s">
        <v>533</v>
      </c>
      <c r="O114" s="2018" t="s">
        <v>533</v>
      </c>
      <c r="P114" s="2018" t="s">
        <v>533</v>
      </c>
      <c r="Q114" s="2018" t="s">
        <v>533</v>
      </c>
      <c r="R114" s="2018" t="s">
        <v>533</v>
      </c>
      <c r="S114" s="2018" t="s">
        <v>533</v>
      </c>
      <c r="T114" s="2018" t="s">
        <v>533</v>
      </c>
      <c r="U114" s="2018" t="s">
        <v>533</v>
      </c>
      <c r="V114" s="2018" t="s">
        <v>533</v>
      </c>
      <c r="W114" s="2018" t="s">
        <v>533</v>
      </c>
      <c r="X114" s="2018" t="s">
        <v>533</v>
      </c>
      <c r="Y114" s="2018" t="s">
        <v>533</v>
      </c>
    </row>
    <row r="115" spans="1:25" s="48" customFormat="1">
      <c r="A115" s="2035" t="s">
        <v>1296</v>
      </c>
      <c r="B115" s="5138"/>
      <c r="C115" s="2015" t="s">
        <v>1281</v>
      </c>
      <c r="D115" s="2019" t="s">
        <v>1163</v>
      </c>
      <c r="E115" s="2020" t="s">
        <v>1188</v>
      </c>
      <c r="F115" s="2017" t="s">
        <v>1275</v>
      </c>
      <c r="G115" s="1977" t="s">
        <v>1284</v>
      </c>
      <c r="H115" s="2018" t="s">
        <v>533</v>
      </c>
      <c r="I115" s="2018" t="s">
        <v>533</v>
      </c>
      <c r="J115" s="2018" t="s">
        <v>533</v>
      </c>
      <c r="K115" s="2018" t="s">
        <v>533</v>
      </c>
      <c r="L115" s="2018" t="s">
        <v>533</v>
      </c>
      <c r="M115" s="2018" t="s">
        <v>533</v>
      </c>
      <c r="N115" s="2018" t="s">
        <v>533</v>
      </c>
      <c r="O115" s="2018" t="s">
        <v>533</v>
      </c>
      <c r="P115" s="2018" t="s">
        <v>533</v>
      </c>
      <c r="Q115" s="2018" t="s">
        <v>533</v>
      </c>
      <c r="R115" s="2018" t="s">
        <v>533</v>
      </c>
      <c r="S115" s="2018" t="s">
        <v>533</v>
      </c>
      <c r="T115" s="2018" t="s">
        <v>533</v>
      </c>
      <c r="U115" s="2018" t="s">
        <v>533</v>
      </c>
      <c r="V115" s="2018" t="s">
        <v>533</v>
      </c>
      <c r="W115" s="2018" t="s">
        <v>533</v>
      </c>
      <c r="X115" s="2018" t="s">
        <v>533</v>
      </c>
      <c r="Y115" s="2018" t="s">
        <v>533</v>
      </c>
    </row>
    <row r="116" spans="1:25" s="48" customFormat="1">
      <c r="A116" s="2035" t="s">
        <v>1296</v>
      </c>
      <c r="B116" s="5138"/>
      <c r="C116" s="2015" t="s">
        <v>1282</v>
      </c>
      <c r="D116" s="2019" t="s">
        <v>1163</v>
      </c>
      <c r="E116" s="2020" t="s">
        <v>1188</v>
      </c>
      <c r="F116" s="2017" t="s">
        <v>1275</v>
      </c>
      <c r="G116" s="1977" t="s">
        <v>1284</v>
      </c>
      <c r="H116" s="2018" t="s">
        <v>533</v>
      </c>
      <c r="I116" s="2018" t="s">
        <v>533</v>
      </c>
      <c r="J116" s="2018" t="s">
        <v>533</v>
      </c>
      <c r="K116" s="2018" t="s">
        <v>533</v>
      </c>
      <c r="L116" s="2018" t="s">
        <v>533</v>
      </c>
      <c r="M116" s="2018" t="s">
        <v>533</v>
      </c>
      <c r="N116" s="2018" t="s">
        <v>533</v>
      </c>
      <c r="O116" s="2018" t="s">
        <v>533</v>
      </c>
      <c r="P116" s="2018" t="s">
        <v>533</v>
      </c>
      <c r="Q116" s="2018" t="s">
        <v>533</v>
      </c>
      <c r="R116" s="2018" t="s">
        <v>533</v>
      </c>
      <c r="S116" s="2018" t="s">
        <v>533</v>
      </c>
      <c r="T116" s="2018" t="s">
        <v>533</v>
      </c>
      <c r="U116" s="2018" t="s">
        <v>533</v>
      </c>
      <c r="V116" s="2018" t="s">
        <v>533</v>
      </c>
      <c r="W116" s="2018" t="s">
        <v>533</v>
      </c>
      <c r="X116" s="2018" t="s">
        <v>533</v>
      </c>
      <c r="Y116" s="2018" t="s">
        <v>533</v>
      </c>
    </row>
    <row r="117" spans="1:25" s="48" customFormat="1">
      <c r="A117" s="2035" t="s">
        <v>1296</v>
      </c>
      <c r="B117" s="5139"/>
      <c r="C117" s="2022" t="s">
        <v>1283</v>
      </c>
      <c r="D117" s="2023" t="s">
        <v>1163</v>
      </c>
      <c r="E117" s="2024" t="s">
        <v>1188</v>
      </c>
      <c r="F117" s="2017" t="s">
        <v>1275</v>
      </c>
      <c r="G117" s="2025" t="s">
        <v>1284</v>
      </c>
      <c r="H117" s="2018" t="s">
        <v>533</v>
      </c>
      <c r="I117" s="2018" t="s">
        <v>533</v>
      </c>
      <c r="J117" s="2018" t="s">
        <v>533</v>
      </c>
      <c r="K117" s="2018" t="s">
        <v>533</v>
      </c>
      <c r="L117" s="2018" t="s">
        <v>533</v>
      </c>
      <c r="M117" s="2018" t="s">
        <v>533</v>
      </c>
      <c r="N117" s="2018" t="s">
        <v>533</v>
      </c>
      <c r="O117" s="2018" t="s">
        <v>533</v>
      </c>
      <c r="P117" s="2018" t="s">
        <v>533</v>
      </c>
      <c r="Q117" s="2018" t="s">
        <v>533</v>
      </c>
      <c r="R117" s="2018" t="s">
        <v>533</v>
      </c>
      <c r="S117" s="2018" t="s">
        <v>533</v>
      </c>
      <c r="T117" s="2018" t="s">
        <v>533</v>
      </c>
      <c r="U117" s="2018" t="s">
        <v>533</v>
      </c>
      <c r="V117" s="2018" t="s">
        <v>533</v>
      </c>
      <c r="W117" s="2018" t="s">
        <v>533</v>
      </c>
      <c r="X117" s="2018" t="s">
        <v>533</v>
      </c>
      <c r="Y117" s="2018" t="s">
        <v>533</v>
      </c>
    </row>
    <row r="118" spans="1:25" s="48" customFormat="1">
      <c r="A118" s="2034" t="s">
        <v>1292</v>
      </c>
      <c r="B118" s="1940" t="s">
        <v>1299</v>
      </c>
      <c r="C118" s="1927" t="s">
        <v>1311</v>
      </c>
      <c r="D118" s="1942" t="s">
        <v>1140</v>
      </c>
      <c r="E118" s="1942" t="s">
        <v>1146</v>
      </c>
      <c r="F118" s="1942" t="s">
        <v>1322</v>
      </c>
      <c r="G118" s="1942" t="s">
        <v>1321</v>
      </c>
      <c r="H118" s="2009"/>
      <c r="I118" s="2009"/>
      <c r="J118" s="2009"/>
      <c r="K118" s="2009"/>
      <c r="L118" s="2009"/>
      <c r="M118" s="2009"/>
      <c r="N118" s="2009"/>
      <c r="O118" s="2009"/>
      <c r="P118" s="2009"/>
      <c r="Q118" s="2009"/>
      <c r="R118" s="2009" t="s">
        <v>533</v>
      </c>
      <c r="S118" s="2009"/>
      <c r="T118" s="2009"/>
      <c r="U118" s="2009"/>
      <c r="V118" s="2009"/>
      <c r="W118" s="2009"/>
      <c r="X118" s="2009"/>
      <c r="Y118" s="2009"/>
    </row>
    <row r="119" spans="1:25" s="48" customFormat="1">
      <c r="A119" s="2034" t="s">
        <v>1292</v>
      </c>
      <c r="B119" s="1940" t="s">
        <v>1300</v>
      </c>
      <c r="C119" s="1927" t="s">
        <v>1312</v>
      </c>
      <c r="D119" s="1942" t="s">
        <v>1140</v>
      </c>
      <c r="E119" s="1942" t="s">
        <v>1146</v>
      </c>
      <c r="F119" s="1942" t="s">
        <v>1322</v>
      </c>
      <c r="G119" s="1942" t="s">
        <v>1321</v>
      </c>
      <c r="H119" s="2009" t="s">
        <v>533</v>
      </c>
      <c r="I119" s="2009"/>
      <c r="J119" s="2009"/>
      <c r="K119" s="2009"/>
      <c r="L119" s="2009"/>
      <c r="M119" s="2009"/>
      <c r="N119" s="2009"/>
      <c r="O119" s="2009"/>
      <c r="P119" s="2009"/>
      <c r="Q119" s="2009"/>
      <c r="R119" s="2009"/>
      <c r="S119" s="2009"/>
      <c r="T119" s="2009" t="s">
        <v>533</v>
      </c>
      <c r="U119" s="2009"/>
      <c r="V119" s="2009"/>
      <c r="W119" s="2009"/>
      <c r="X119" s="2009"/>
      <c r="Y119" s="2009"/>
    </row>
    <row r="120" spans="1:25" s="2126" customFormat="1">
      <c r="A120" s="2121" t="s">
        <v>1292</v>
      </c>
      <c r="B120" s="2122" t="s">
        <v>1385</v>
      </c>
      <c r="C120" s="2123"/>
      <c r="D120" s="2124"/>
      <c r="E120" s="2124"/>
      <c r="F120" s="2124"/>
      <c r="G120" s="2124"/>
      <c r="H120" s="2125"/>
      <c r="I120" s="2125"/>
      <c r="J120" s="2125"/>
      <c r="K120" s="2125"/>
      <c r="L120" s="2125"/>
      <c r="M120" s="2125"/>
      <c r="N120" s="2125"/>
      <c r="O120" s="2125"/>
      <c r="P120" s="2125"/>
      <c r="Q120" s="2125"/>
      <c r="R120" s="2125"/>
      <c r="S120" s="2125"/>
      <c r="T120" s="2125"/>
      <c r="U120" s="2125"/>
      <c r="V120" s="2125"/>
      <c r="W120" s="2125"/>
      <c r="X120" s="2125"/>
      <c r="Y120" s="2125"/>
    </row>
    <row r="121" spans="1:25" s="48" customFormat="1">
      <c r="A121" s="2034"/>
      <c r="B121" s="2118"/>
      <c r="C121" s="1927"/>
      <c r="D121" s="1942"/>
      <c r="E121" s="1942"/>
      <c r="F121" s="1942"/>
      <c r="G121" s="1942"/>
      <c r="H121" s="2009"/>
      <c r="I121" s="2009"/>
      <c r="J121" s="2009"/>
      <c r="K121" s="2009"/>
      <c r="L121" s="2009"/>
      <c r="M121" s="2009"/>
      <c r="N121" s="2009"/>
      <c r="O121" s="2009"/>
      <c r="P121" s="2009"/>
      <c r="Q121" s="2009"/>
      <c r="R121" s="2009"/>
      <c r="S121" s="2009"/>
      <c r="T121" s="2009"/>
      <c r="U121" s="2009"/>
      <c r="V121" s="2009"/>
      <c r="W121" s="2009"/>
      <c r="X121" s="2009"/>
      <c r="Y121" s="2009"/>
    </row>
    <row r="122" spans="1:25" s="48" customFormat="1">
      <c r="A122" s="2034"/>
      <c r="B122" s="2118"/>
      <c r="C122" s="1927"/>
      <c r="D122" s="1942"/>
      <c r="E122" s="1942"/>
      <c r="F122" s="1942"/>
      <c r="G122" s="1942"/>
      <c r="H122" s="2009"/>
      <c r="I122" s="2009"/>
      <c r="J122" s="2009"/>
      <c r="K122" s="2009"/>
      <c r="L122" s="2009"/>
      <c r="M122" s="2009"/>
      <c r="N122" s="2009"/>
      <c r="O122" s="2009"/>
      <c r="P122" s="2009"/>
      <c r="Q122" s="2009"/>
      <c r="R122" s="2009"/>
      <c r="S122" s="2009"/>
      <c r="T122" s="2009"/>
      <c r="U122" s="2009"/>
      <c r="V122" s="2009"/>
      <c r="W122" s="2009"/>
      <c r="X122" s="2009"/>
      <c r="Y122" s="2009"/>
    </row>
    <row r="123" spans="1:25" s="48" customFormat="1" ht="27.6">
      <c r="A123" s="2031" t="s">
        <v>1293</v>
      </c>
      <c r="B123" s="1940" t="s">
        <v>1301</v>
      </c>
      <c r="C123" s="1927" t="s">
        <v>1306</v>
      </c>
      <c r="D123" s="1942" t="s">
        <v>1140</v>
      </c>
      <c r="E123" s="1942" t="s">
        <v>1146</v>
      </c>
      <c r="F123" s="1928" t="s">
        <v>1378</v>
      </c>
      <c r="G123" s="1942" t="s">
        <v>1321</v>
      </c>
      <c r="H123" s="2009"/>
      <c r="I123" s="2009"/>
      <c r="J123" s="2009"/>
      <c r="K123" s="2009"/>
      <c r="L123" s="2009"/>
      <c r="M123" s="2009"/>
      <c r="N123" s="2009"/>
      <c r="O123" s="2009"/>
      <c r="P123" s="2009"/>
      <c r="Q123" s="2009"/>
      <c r="R123" s="2009"/>
      <c r="S123" s="2009"/>
      <c r="T123" s="2009"/>
      <c r="U123" s="2009"/>
      <c r="V123" s="2009"/>
      <c r="W123" s="2009"/>
      <c r="X123" s="2009"/>
      <c r="Y123" s="2009"/>
    </row>
    <row r="124" spans="1:25" s="2028" customFormat="1">
      <c r="A124" s="2031" t="s">
        <v>1293</v>
      </c>
      <c r="B124" s="2047" t="s">
        <v>1302</v>
      </c>
      <c r="C124" s="2026" t="s">
        <v>1302</v>
      </c>
      <c r="D124" s="1942" t="s">
        <v>1140</v>
      </c>
      <c r="E124" s="2027" t="s">
        <v>1146</v>
      </c>
      <c r="F124" s="1928" t="s">
        <v>1378</v>
      </c>
      <c r="G124" s="1942" t="s">
        <v>1321</v>
      </c>
      <c r="H124" s="2027"/>
      <c r="I124" s="2027"/>
      <c r="J124" s="2027"/>
      <c r="K124" s="2027"/>
      <c r="L124" s="2027"/>
      <c r="M124" s="2027"/>
      <c r="N124" s="2027"/>
      <c r="O124" s="2027"/>
      <c r="P124" s="2027"/>
      <c r="Q124" s="2027"/>
      <c r="R124" s="2027"/>
      <c r="S124" s="2027"/>
      <c r="T124" s="2027"/>
      <c r="U124" s="2027"/>
      <c r="V124" s="2027"/>
      <c r="W124" s="2027"/>
      <c r="X124" s="2027"/>
      <c r="Y124" s="2027"/>
    </row>
    <row r="125" spans="1:25" s="48" customFormat="1">
      <c r="A125" s="2031" t="s">
        <v>1293</v>
      </c>
      <c r="B125" s="1940" t="s">
        <v>1303</v>
      </c>
      <c r="C125" s="1927" t="s">
        <v>1308</v>
      </c>
      <c r="D125" s="1942" t="s">
        <v>1140</v>
      </c>
      <c r="E125" s="1942" t="s">
        <v>1146</v>
      </c>
      <c r="F125" s="1928" t="s">
        <v>1378</v>
      </c>
      <c r="G125" s="1942" t="s">
        <v>1321</v>
      </c>
      <c r="H125" s="2009"/>
      <c r="I125" s="2009"/>
      <c r="J125" s="2009"/>
      <c r="K125" s="2009"/>
      <c r="L125" s="2009"/>
      <c r="M125" s="2009"/>
      <c r="N125" s="2009"/>
      <c r="O125" s="2009"/>
      <c r="P125" s="2009"/>
      <c r="Q125" s="2009"/>
      <c r="R125" s="2009"/>
      <c r="S125" s="2009"/>
      <c r="T125" s="2009"/>
      <c r="U125" s="2009"/>
      <c r="V125" s="2009"/>
      <c r="W125" s="2009"/>
      <c r="X125" s="2009"/>
      <c r="Y125" s="2009"/>
    </row>
    <row r="126" spans="1:25" s="48" customFormat="1">
      <c r="A126" s="2031" t="s">
        <v>1293</v>
      </c>
      <c r="B126" s="1940" t="s">
        <v>1304</v>
      </c>
      <c r="C126" s="1927" t="s">
        <v>1309</v>
      </c>
      <c r="D126" s="1942" t="s">
        <v>1140</v>
      </c>
      <c r="E126" s="1942" t="s">
        <v>1146</v>
      </c>
      <c r="F126" s="1928" t="s">
        <v>1378</v>
      </c>
      <c r="G126" s="1942" t="s">
        <v>1321</v>
      </c>
      <c r="H126" s="2009"/>
      <c r="I126" s="2009"/>
      <c r="J126" s="2009"/>
      <c r="K126" s="2009"/>
      <c r="L126" s="2009"/>
      <c r="M126" s="2009"/>
      <c r="N126" s="2009"/>
      <c r="O126" s="2009"/>
      <c r="P126" s="2009"/>
      <c r="Q126" s="2009"/>
      <c r="R126" s="2009"/>
      <c r="S126" s="2009"/>
      <c r="T126" s="2009"/>
      <c r="U126" s="2009"/>
      <c r="V126" s="2009"/>
      <c r="W126" s="2009"/>
      <c r="X126" s="2009"/>
      <c r="Y126" s="2009"/>
    </row>
    <row r="127" spans="1:25" s="48" customFormat="1" ht="27.6">
      <c r="A127" s="2031" t="s">
        <v>1293</v>
      </c>
      <c r="B127" s="1940" t="s">
        <v>1305</v>
      </c>
      <c r="C127" s="1927" t="s">
        <v>1310</v>
      </c>
      <c r="D127" s="1942" t="s">
        <v>1140</v>
      </c>
      <c r="E127" s="1942" t="s">
        <v>1146</v>
      </c>
      <c r="F127" s="1928" t="s">
        <v>1378</v>
      </c>
      <c r="G127" s="1942" t="s">
        <v>1321</v>
      </c>
      <c r="H127" s="2009"/>
      <c r="I127" s="2009"/>
      <c r="J127" s="2009"/>
      <c r="K127" s="2009"/>
      <c r="L127" s="2009"/>
      <c r="M127" s="2009"/>
      <c r="N127" s="2009"/>
      <c r="O127" s="2009"/>
      <c r="P127" s="2009"/>
      <c r="Q127" s="2009"/>
      <c r="R127" s="2009"/>
      <c r="S127" s="2009"/>
      <c r="T127" s="2009"/>
      <c r="U127" s="2009"/>
      <c r="V127" s="2009"/>
      <c r="W127" s="2009"/>
      <c r="X127" s="2009"/>
      <c r="Y127" s="2009"/>
    </row>
    <row r="128" spans="1:25" s="48" customFormat="1">
      <c r="A128" s="2033" t="s">
        <v>1294</v>
      </c>
      <c r="B128" s="2048" t="s">
        <v>1316</v>
      </c>
      <c r="C128" s="1941" t="s">
        <v>1317</v>
      </c>
      <c r="D128" s="1942" t="s">
        <v>1140</v>
      </c>
      <c r="E128" s="1942" t="s">
        <v>1146</v>
      </c>
      <c r="F128" s="1928" t="s">
        <v>1378</v>
      </c>
      <c r="G128" s="1942" t="s">
        <v>1321</v>
      </c>
      <c r="H128" s="2009"/>
      <c r="I128" s="2009"/>
      <c r="J128" s="2009"/>
      <c r="K128" s="2009"/>
      <c r="L128" s="2009"/>
      <c r="M128" s="2009"/>
      <c r="N128" s="2009"/>
      <c r="O128" s="2009"/>
      <c r="P128" s="2009"/>
      <c r="Q128" s="2009"/>
      <c r="R128" s="2009"/>
      <c r="S128" s="2009"/>
      <c r="T128" s="2009"/>
      <c r="U128" s="2009"/>
      <c r="V128" s="2009"/>
      <c r="W128" s="2009"/>
      <c r="X128" s="2009"/>
      <c r="Y128" s="2009"/>
    </row>
    <row r="129" spans="1:25" s="48" customFormat="1">
      <c r="A129" s="2033" t="s">
        <v>1294</v>
      </c>
      <c r="B129" s="2048" t="s">
        <v>1313</v>
      </c>
      <c r="C129" s="1941" t="s">
        <v>1318</v>
      </c>
      <c r="D129" s="1942" t="s">
        <v>1140</v>
      </c>
      <c r="E129" s="1942" t="s">
        <v>1146</v>
      </c>
      <c r="F129" s="1928" t="s">
        <v>1378</v>
      </c>
      <c r="G129" s="1942" t="s">
        <v>1321</v>
      </c>
      <c r="H129" s="2009"/>
      <c r="I129" s="2009"/>
      <c r="J129" s="2009"/>
      <c r="K129" s="2009"/>
      <c r="L129" s="2009"/>
      <c r="M129" s="2009"/>
      <c r="N129" s="2009"/>
      <c r="O129" s="2009"/>
      <c r="P129" s="2009"/>
      <c r="Q129" s="2009"/>
      <c r="R129" s="2009"/>
      <c r="S129" s="2009"/>
      <c r="T129" s="2009"/>
      <c r="U129" s="2009"/>
      <c r="V129" s="2009"/>
      <c r="W129" s="2009"/>
      <c r="X129" s="2009"/>
      <c r="Y129" s="2009"/>
    </row>
    <row r="130" spans="1:25" s="48" customFormat="1">
      <c r="A130" s="2033" t="s">
        <v>1294</v>
      </c>
      <c r="B130" s="2048" t="s">
        <v>1314</v>
      </c>
      <c r="C130" s="1941" t="s">
        <v>1319</v>
      </c>
      <c r="D130" s="1942" t="s">
        <v>1140</v>
      </c>
      <c r="E130" s="1942" t="s">
        <v>1146</v>
      </c>
      <c r="F130" s="1928" t="s">
        <v>1378</v>
      </c>
      <c r="G130" s="1942" t="s">
        <v>1321</v>
      </c>
      <c r="H130" s="2009"/>
      <c r="I130" s="2009"/>
      <c r="J130" s="2009"/>
      <c r="K130" s="2009"/>
      <c r="L130" s="2009"/>
      <c r="M130" s="2009"/>
      <c r="N130" s="2009"/>
      <c r="O130" s="2009"/>
      <c r="P130" s="2009"/>
      <c r="Q130" s="2009"/>
      <c r="R130" s="2009"/>
      <c r="S130" s="2009"/>
      <c r="T130" s="2009"/>
      <c r="U130" s="2009"/>
      <c r="V130" s="2009"/>
      <c r="W130" s="2009"/>
      <c r="X130" s="2009"/>
      <c r="Y130" s="2009"/>
    </row>
    <row r="131" spans="1:25" s="48" customFormat="1">
      <c r="A131" s="2033" t="s">
        <v>1294</v>
      </c>
      <c r="B131" s="2030" t="s">
        <v>1315</v>
      </c>
      <c r="C131" s="1941" t="s">
        <v>1320</v>
      </c>
      <c r="D131" s="1942" t="s">
        <v>1140</v>
      </c>
      <c r="E131" s="1942" t="s">
        <v>1146</v>
      </c>
      <c r="F131" s="1928" t="s">
        <v>1378</v>
      </c>
      <c r="G131" s="1942" t="s">
        <v>1321</v>
      </c>
      <c r="H131" s="2009"/>
      <c r="I131" s="2009"/>
      <c r="J131" s="2009"/>
      <c r="K131" s="2009"/>
      <c r="L131" s="2009"/>
      <c r="M131" s="2009"/>
      <c r="N131" s="2009"/>
      <c r="O131" s="2009"/>
      <c r="P131" s="2009"/>
      <c r="Q131" s="2009"/>
      <c r="R131" s="2009"/>
      <c r="S131" s="2009"/>
      <c r="T131" s="2009"/>
      <c r="U131" s="2009"/>
      <c r="V131" s="2009"/>
      <c r="W131" s="2009"/>
      <c r="X131" s="2009"/>
      <c r="Y131" s="2009"/>
    </row>
    <row r="132" spans="1:25" s="48" customFormat="1">
      <c r="A132" s="2032" t="s">
        <v>1295</v>
      </c>
      <c r="B132" s="5140" t="s">
        <v>1324</v>
      </c>
      <c r="C132" s="1941" t="s">
        <v>1328</v>
      </c>
      <c r="D132" s="1942" t="s">
        <v>1163</v>
      </c>
      <c r="E132" s="1942" t="s">
        <v>1188</v>
      </c>
      <c r="F132" s="1942" t="s">
        <v>1275</v>
      </c>
      <c r="G132" s="1942" t="s">
        <v>1330</v>
      </c>
      <c r="H132" s="2009" t="s">
        <v>533</v>
      </c>
      <c r="I132" s="2009" t="s">
        <v>533</v>
      </c>
      <c r="J132" s="2009" t="s">
        <v>533</v>
      </c>
      <c r="K132" s="2009" t="s">
        <v>533</v>
      </c>
      <c r="L132" s="2009" t="s">
        <v>533</v>
      </c>
      <c r="M132" s="2009" t="s">
        <v>533</v>
      </c>
      <c r="N132" s="2009" t="s">
        <v>533</v>
      </c>
      <c r="O132" s="2009" t="s">
        <v>533</v>
      </c>
      <c r="P132" s="2009" t="s">
        <v>533</v>
      </c>
      <c r="Q132" s="2009" t="s">
        <v>533</v>
      </c>
      <c r="R132" s="2009" t="s">
        <v>533</v>
      </c>
      <c r="S132" s="2009" t="s">
        <v>533</v>
      </c>
      <c r="T132" s="2009" t="s">
        <v>533</v>
      </c>
      <c r="U132" s="2009" t="s">
        <v>533</v>
      </c>
      <c r="V132" s="2009" t="s">
        <v>533</v>
      </c>
      <c r="W132" s="2009" t="s">
        <v>533</v>
      </c>
      <c r="X132" s="2009" t="s">
        <v>533</v>
      </c>
      <c r="Y132" s="2009" t="s">
        <v>533</v>
      </c>
    </row>
    <row r="133" spans="1:25" s="48" customFormat="1">
      <c r="A133" s="2032" t="s">
        <v>1295</v>
      </c>
      <c r="B133" s="5141"/>
      <c r="C133" s="1941" t="s">
        <v>1329</v>
      </c>
      <c r="D133" s="1942" t="s">
        <v>1163</v>
      </c>
      <c r="E133" s="1942" t="s">
        <v>1188</v>
      </c>
      <c r="F133" s="1942" t="s">
        <v>1275</v>
      </c>
      <c r="G133" s="1942" t="s">
        <v>1330</v>
      </c>
      <c r="H133" s="2009" t="s">
        <v>533</v>
      </c>
      <c r="I133" s="2009" t="s">
        <v>533</v>
      </c>
      <c r="J133" s="2009" t="s">
        <v>533</v>
      </c>
      <c r="K133" s="2009" t="s">
        <v>533</v>
      </c>
      <c r="L133" s="2009" t="s">
        <v>533</v>
      </c>
      <c r="M133" s="2009" t="s">
        <v>533</v>
      </c>
      <c r="N133" s="2009" t="s">
        <v>533</v>
      </c>
      <c r="O133" s="2009" t="s">
        <v>533</v>
      </c>
      <c r="P133" s="2009" t="s">
        <v>533</v>
      </c>
      <c r="Q133" s="2009" t="s">
        <v>533</v>
      </c>
      <c r="R133" s="2009" t="s">
        <v>533</v>
      </c>
      <c r="S133" s="2009" t="s">
        <v>533</v>
      </c>
      <c r="T133" s="2009" t="s">
        <v>533</v>
      </c>
      <c r="U133" s="2009" t="s">
        <v>533</v>
      </c>
      <c r="V133" s="2009" t="s">
        <v>533</v>
      </c>
      <c r="W133" s="2009" t="s">
        <v>533</v>
      </c>
      <c r="X133" s="2009" t="s">
        <v>533</v>
      </c>
      <c r="Y133" s="2009" t="s">
        <v>533</v>
      </c>
    </row>
    <row r="134" spans="1:25" s="48" customFormat="1">
      <c r="A134" s="2032" t="s">
        <v>1295</v>
      </c>
      <c r="B134" s="5136" t="s">
        <v>1325</v>
      </c>
      <c r="C134" s="1941" t="s">
        <v>1326</v>
      </c>
      <c r="D134" s="1942" t="s">
        <v>1163</v>
      </c>
      <c r="E134" s="1942" t="s">
        <v>1188</v>
      </c>
      <c r="F134" s="1942" t="s">
        <v>1275</v>
      </c>
      <c r="G134" s="1942" t="s">
        <v>1330</v>
      </c>
      <c r="H134" s="2009" t="s">
        <v>533</v>
      </c>
      <c r="I134" s="2009" t="s">
        <v>533</v>
      </c>
      <c r="J134" s="2009" t="s">
        <v>533</v>
      </c>
      <c r="K134" s="2009" t="s">
        <v>533</v>
      </c>
      <c r="L134" s="2009" t="s">
        <v>533</v>
      </c>
      <c r="M134" s="2009" t="s">
        <v>533</v>
      </c>
      <c r="N134" s="2009" t="s">
        <v>533</v>
      </c>
      <c r="O134" s="2009" t="s">
        <v>533</v>
      </c>
      <c r="P134" s="2009" t="s">
        <v>533</v>
      </c>
      <c r="Q134" s="2009" t="s">
        <v>533</v>
      </c>
      <c r="R134" s="2009" t="s">
        <v>533</v>
      </c>
      <c r="S134" s="2009" t="s">
        <v>533</v>
      </c>
      <c r="T134" s="2009" t="s">
        <v>533</v>
      </c>
      <c r="U134" s="2009" t="s">
        <v>533</v>
      </c>
      <c r="V134" s="2009" t="s">
        <v>533</v>
      </c>
      <c r="W134" s="2009" t="s">
        <v>533</v>
      </c>
      <c r="X134" s="2009" t="s">
        <v>533</v>
      </c>
      <c r="Y134" s="2009" t="s">
        <v>533</v>
      </c>
    </row>
    <row r="135" spans="1:25" s="48" customFormat="1">
      <c r="A135" s="2032" t="s">
        <v>1295</v>
      </c>
      <c r="B135" s="5137"/>
      <c r="C135" s="1941" t="s">
        <v>1327</v>
      </c>
      <c r="D135" s="1942" t="s">
        <v>1163</v>
      </c>
      <c r="E135" s="1942" t="s">
        <v>1188</v>
      </c>
      <c r="F135" s="1942" t="s">
        <v>1275</v>
      </c>
      <c r="G135" s="1942" t="s">
        <v>1330</v>
      </c>
      <c r="H135" s="2009" t="s">
        <v>533</v>
      </c>
      <c r="I135" s="2009" t="s">
        <v>533</v>
      </c>
      <c r="J135" s="2009" t="s">
        <v>533</v>
      </c>
      <c r="K135" s="2009" t="s">
        <v>533</v>
      </c>
      <c r="L135" s="2009" t="s">
        <v>533</v>
      </c>
      <c r="M135" s="2009" t="s">
        <v>533</v>
      </c>
      <c r="N135" s="2009" t="s">
        <v>533</v>
      </c>
      <c r="O135" s="2009" t="s">
        <v>533</v>
      </c>
      <c r="P135" s="2009" t="s">
        <v>533</v>
      </c>
      <c r="Q135" s="2009" t="s">
        <v>533</v>
      </c>
      <c r="R135" s="2009" t="s">
        <v>533</v>
      </c>
      <c r="S135" s="2009" t="s">
        <v>533</v>
      </c>
      <c r="T135" s="2009" t="s">
        <v>533</v>
      </c>
      <c r="U135" s="2009" t="s">
        <v>533</v>
      </c>
      <c r="V135" s="2009" t="s">
        <v>533</v>
      </c>
      <c r="W135" s="2009" t="s">
        <v>533</v>
      </c>
      <c r="X135" s="2009" t="s">
        <v>533</v>
      </c>
      <c r="Y135" s="2009" t="s">
        <v>533</v>
      </c>
    </row>
    <row r="136" spans="1:25" s="48" customFormat="1" ht="27.6">
      <c r="A136" s="2036" t="s">
        <v>1296</v>
      </c>
      <c r="B136" s="1940" t="s">
        <v>1331</v>
      </c>
      <c r="C136" s="1941" t="s">
        <v>1332</v>
      </c>
      <c r="D136" s="1942" t="s">
        <v>1140</v>
      </c>
      <c r="E136" s="1942" t="s">
        <v>1146</v>
      </c>
      <c r="F136" s="1928" t="s">
        <v>1377</v>
      </c>
      <c r="G136" s="1942" t="s">
        <v>1321</v>
      </c>
      <c r="H136" s="2009"/>
      <c r="I136" s="2009"/>
      <c r="J136" s="2009"/>
      <c r="K136" s="2009"/>
      <c r="L136" s="2009"/>
      <c r="M136" s="2009"/>
      <c r="N136" s="2009"/>
      <c r="O136" s="2009"/>
      <c r="P136" s="2009"/>
      <c r="Q136" s="2009"/>
      <c r="R136" s="2009"/>
      <c r="S136" s="2009"/>
      <c r="T136" s="2009"/>
      <c r="U136" s="2009"/>
      <c r="V136" s="2009"/>
      <c r="W136" s="2009"/>
      <c r="X136" s="2009"/>
      <c r="Y136" s="2009"/>
    </row>
    <row r="137" spans="1:25" s="48" customFormat="1">
      <c r="A137" s="2037" t="s">
        <v>1297</v>
      </c>
      <c r="B137" s="1940" t="s">
        <v>1333</v>
      </c>
      <c r="C137" s="1927" t="s">
        <v>1336</v>
      </c>
      <c r="D137" s="1942" t="s">
        <v>1140</v>
      </c>
      <c r="E137" s="1942" t="s">
        <v>1146</v>
      </c>
      <c r="F137" s="1928" t="s">
        <v>1376</v>
      </c>
      <c r="G137" s="1942" t="s">
        <v>1321</v>
      </c>
      <c r="H137" s="2009"/>
      <c r="I137" s="2009"/>
      <c r="J137" s="2009"/>
      <c r="K137" s="2009"/>
      <c r="L137" s="2009"/>
      <c r="M137" s="2009"/>
      <c r="N137" s="2009"/>
      <c r="O137" s="2009"/>
      <c r="P137" s="2009"/>
      <c r="Q137" s="2009"/>
      <c r="R137" s="2009"/>
      <c r="S137" s="2009"/>
      <c r="T137" s="2009"/>
      <c r="U137" s="2009"/>
      <c r="V137" s="2009"/>
      <c r="W137" s="2009"/>
      <c r="X137" s="2009"/>
      <c r="Y137" s="2009"/>
    </row>
    <row r="138" spans="1:25" s="48" customFormat="1">
      <c r="A138" s="2037" t="s">
        <v>1297</v>
      </c>
      <c r="B138" s="1940" t="s">
        <v>1334</v>
      </c>
      <c r="C138" s="1927" t="s">
        <v>1337</v>
      </c>
      <c r="D138" s="1942" t="s">
        <v>1140</v>
      </c>
      <c r="E138" s="1942" t="s">
        <v>1146</v>
      </c>
      <c r="F138" s="1928" t="s">
        <v>1376</v>
      </c>
      <c r="G138" s="1942" t="s">
        <v>1321</v>
      </c>
      <c r="H138" s="2009"/>
      <c r="I138" s="2009"/>
      <c r="J138" s="2009"/>
      <c r="K138" s="2009"/>
      <c r="L138" s="2009"/>
      <c r="M138" s="2009"/>
      <c r="N138" s="2009"/>
      <c r="O138" s="2009"/>
      <c r="P138" s="2009"/>
      <c r="Q138" s="2009"/>
      <c r="R138" s="2009"/>
      <c r="S138" s="2009"/>
      <c r="T138" s="2009"/>
      <c r="U138" s="2009"/>
      <c r="V138" s="2009"/>
      <c r="W138" s="2009"/>
      <c r="X138" s="2009"/>
      <c r="Y138" s="2009"/>
    </row>
    <row r="139" spans="1:25" s="48" customFormat="1" ht="27.6">
      <c r="A139" s="2037" t="s">
        <v>1297</v>
      </c>
      <c r="B139" s="1940" t="s">
        <v>1335</v>
      </c>
      <c r="C139" s="1927" t="s">
        <v>1338</v>
      </c>
      <c r="D139" s="1942" t="s">
        <v>1140</v>
      </c>
      <c r="E139" s="1942" t="s">
        <v>1146</v>
      </c>
      <c r="F139" s="1928" t="s">
        <v>1376</v>
      </c>
      <c r="G139" s="1942" t="s">
        <v>1321</v>
      </c>
      <c r="H139" s="2009"/>
      <c r="I139" s="2009"/>
      <c r="J139" s="2009"/>
      <c r="K139" s="2009"/>
      <c r="L139" s="2009"/>
      <c r="M139" s="2009"/>
      <c r="N139" s="2009"/>
      <c r="O139" s="2009"/>
      <c r="P139" s="2009"/>
      <c r="Q139" s="2009"/>
      <c r="R139" s="2009"/>
      <c r="S139" s="2009"/>
      <c r="T139" s="2009"/>
      <c r="U139" s="2009"/>
      <c r="V139" s="2009"/>
      <c r="W139" s="2009"/>
      <c r="X139" s="2009"/>
      <c r="Y139" s="2009"/>
    </row>
    <row r="140" spans="1:25" s="48" customFormat="1" ht="41.4">
      <c r="A140" s="2037" t="s">
        <v>1297</v>
      </c>
      <c r="B140" s="1940" t="s">
        <v>1342</v>
      </c>
      <c r="C140" s="1927" t="s">
        <v>1339</v>
      </c>
      <c r="D140" s="1942" t="s">
        <v>1140</v>
      </c>
      <c r="E140" s="1942" t="s">
        <v>1146</v>
      </c>
      <c r="F140" s="1928" t="s">
        <v>1376</v>
      </c>
      <c r="G140" s="1942" t="s">
        <v>1321</v>
      </c>
      <c r="H140" s="2009"/>
      <c r="I140" s="2009"/>
      <c r="J140" s="2009"/>
      <c r="K140" s="2009"/>
      <c r="L140" s="2009"/>
      <c r="M140" s="2009"/>
      <c r="N140" s="2009"/>
      <c r="O140" s="2009"/>
      <c r="P140" s="2009"/>
      <c r="Q140" s="2009"/>
      <c r="R140" s="2009"/>
      <c r="S140" s="2009"/>
      <c r="T140" s="2009"/>
      <c r="U140" s="2009"/>
      <c r="V140" s="2009"/>
      <c r="W140" s="2009"/>
      <c r="X140" s="2009"/>
      <c r="Y140" s="2009"/>
    </row>
    <row r="141" spans="1:25" s="48" customFormat="1" ht="27.6">
      <c r="A141" s="2037" t="s">
        <v>1297</v>
      </c>
      <c r="B141" s="1940" t="s">
        <v>1343</v>
      </c>
      <c r="C141" s="1927" t="s">
        <v>1340</v>
      </c>
      <c r="D141" s="1942" t="s">
        <v>1140</v>
      </c>
      <c r="E141" s="1942" t="s">
        <v>1146</v>
      </c>
      <c r="F141" s="1928" t="s">
        <v>1376</v>
      </c>
      <c r="G141" s="1942" t="s">
        <v>1321</v>
      </c>
      <c r="H141" s="2009"/>
      <c r="I141" s="2009"/>
      <c r="J141" s="2009"/>
      <c r="K141" s="2009"/>
      <c r="L141" s="2009"/>
      <c r="M141" s="2009"/>
      <c r="N141" s="2009"/>
      <c r="O141" s="2009"/>
      <c r="P141" s="2009"/>
      <c r="Q141" s="2009"/>
      <c r="R141" s="2009"/>
      <c r="S141" s="2009"/>
      <c r="T141" s="2009"/>
      <c r="U141" s="2009"/>
      <c r="V141" s="2009"/>
      <c r="W141" s="2009"/>
      <c r="X141" s="2009"/>
      <c r="Y141" s="2009"/>
    </row>
    <row r="142" spans="1:25" s="48" customFormat="1" ht="27.6">
      <c r="A142" s="2037" t="s">
        <v>1297</v>
      </c>
      <c r="B142" s="1940" t="s">
        <v>1344</v>
      </c>
      <c r="C142" s="1927" t="s">
        <v>1341</v>
      </c>
      <c r="D142" s="1942" t="s">
        <v>1140</v>
      </c>
      <c r="E142" s="1942" t="s">
        <v>1146</v>
      </c>
      <c r="F142" s="1928" t="s">
        <v>1376</v>
      </c>
      <c r="G142" s="1942" t="s">
        <v>1321</v>
      </c>
      <c r="H142" s="2009"/>
      <c r="I142" s="2009"/>
      <c r="J142" s="2009"/>
      <c r="K142" s="2009"/>
      <c r="L142" s="2009"/>
      <c r="M142" s="2009"/>
      <c r="N142" s="2009"/>
      <c r="O142" s="2009"/>
      <c r="P142" s="2009"/>
      <c r="Q142" s="2009"/>
      <c r="R142" s="2009"/>
      <c r="S142" s="2009"/>
      <c r="T142" s="2009"/>
      <c r="U142" s="2009"/>
      <c r="V142" s="2009"/>
      <c r="W142" s="2009"/>
      <c r="X142" s="2009"/>
      <c r="Y142" s="2009"/>
    </row>
    <row r="143" spans="1:25" s="48" customFormat="1">
      <c r="A143" s="2021"/>
      <c r="B143" s="1002"/>
      <c r="C143" s="1924"/>
      <c r="D143" s="1889"/>
      <c r="E143" s="1889"/>
      <c r="F143" s="1889"/>
      <c r="G143" s="1889"/>
      <c r="H143" s="2010"/>
      <c r="I143" s="2010"/>
      <c r="J143" s="2010"/>
      <c r="K143" s="2010"/>
      <c r="L143" s="2010"/>
      <c r="M143" s="2010"/>
      <c r="N143" s="2010"/>
      <c r="O143" s="2010"/>
      <c r="P143" s="2010"/>
      <c r="Q143" s="2010"/>
      <c r="R143" s="2010"/>
      <c r="S143" s="2010"/>
      <c r="T143" s="2010"/>
      <c r="U143" s="2010"/>
      <c r="V143" s="2010"/>
      <c r="W143" s="2010"/>
      <c r="X143" s="2010"/>
      <c r="Y143" s="2010"/>
    </row>
    <row r="144" spans="1:25" s="48" customFormat="1">
      <c r="A144" s="2021"/>
      <c r="B144" s="1002"/>
      <c r="C144" s="1924"/>
      <c r="D144" s="1889"/>
      <c r="E144" s="1889"/>
      <c r="F144" s="1889"/>
      <c r="G144" s="1889"/>
      <c r="H144" s="2010"/>
      <c r="I144" s="2010"/>
      <c r="J144" s="2010"/>
      <c r="K144" s="2010"/>
      <c r="L144" s="2010"/>
      <c r="M144" s="2010"/>
      <c r="N144" s="2010"/>
      <c r="O144" s="2010"/>
      <c r="P144" s="2010"/>
      <c r="Q144" s="2010"/>
      <c r="R144" s="2010"/>
      <c r="S144" s="2010"/>
      <c r="T144" s="2010"/>
      <c r="U144" s="2010"/>
      <c r="V144" s="2010"/>
      <c r="W144" s="2010"/>
      <c r="X144" s="2010"/>
      <c r="Y144" s="2010"/>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6"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sheetPr>
    <pageSetUpPr fitToPage="1"/>
  </sheetPr>
  <dimension ref="A1:M131"/>
  <sheetViews>
    <sheetView topLeftCell="A58" zoomScale="85" zoomScaleNormal="85" workbookViewId="0">
      <selection activeCell="R26" sqref="R26"/>
    </sheetView>
  </sheetViews>
  <sheetFormatPr baseColWidth="10" defaultRowHeight="14.4"/>
  <cols>
    <col min="1" max="1" width="29.5546875" customWidth="1"/>
    <col min="2" max="2" width="12.5546875" style="38" bestFit="1" customWidth="1"/>
    <col min="3" max="3" width="11.5546875" style="38"/>
    <col min="4" max="4" width="13.33203125" style="38" bestFit="1" customWidth="1"/>
    <col min="5" max="5" width="12.44140625" style="38" bestFit="1" customWidth="1"/>
    <col min="6" max="6" width="12.5546875" style="38" bestFit="1" customWidth="1"/>
    <col min="7" max="7" width="11.5546875" style="38"/>
    <col min="8" max="8" width="12.5546875" style="38" bestFit="1" customWidth="1"/>
    <col min="9" max="9" width="11.5546875" style="38"/>
    <col min="10" max="13" width="14.88671875" style="38" customWidth="1"/>
    <col min="14" max="14" width="14.88671875" customWidth="1"/>
  </cols>
  <sheetData>
    <row r="1" spans="1:13" s="4500" customFormat="1" ht="28.8">
      <c r="A1" s="4519" t="s">
        <v>1523</v>
      </c>
      <c r="B1" s="4533"/>
      <c r="C1" s="4533"/>
      <c r="D1" s="4533"/>
      <c r="E1" s="4533"/>
      <c r="F1" s="4533"/>
      <c r="G1" s="4533"/>
      <c r="H1" s="4533"/>
      <c r="I1" s="4533"/>
      <c r="J1" s="4533"/>
      <c r="K1" s="4533"/>
      <c r="L1" s="4533"/>
      <c r="M1" s="4533"/>
    </row>
    <row r="2" spans="1:13" s="4500" customFormat="1">
      <c r="A2" s="4520" t="s">
        <v>1524</v>
      </c>
      <c r="B2" s="4533"/>
      <c r="C2" s="4533"/>
      <c r="D2" s="4533"/>
      <c r="E2" s="4533"/>
      <c r="F2" s="4533"/>
      <c r="G2" s="4533"/>
      <c r="H2" s="4533"/>
      <c r="I2" s="4533"/>
      <c r="J2" s="4533"/>
      <c r="K2" s="4533"/>
      <c r="L2" s="4533"/>
      <c r="M2" s="4533"/>
    </row>
    <row r="3" spans="1:13" s="4500" customFormat="1">
      <c r="A3" s="4520"/>
      <c r="B3" s="4533"/>
      <c r="C3" s="4533"/>
      <c r="D3" s="4533"/>
      <c r="E3" s="4533"/>
      <c r="F3" s="4533"/>
      <c r="G3" s="4533"/>
      <c r="H3" s="4533"/>
      <c r="I3" s="4533"/>
      <c r="J3" s="4533"/>
      <c r="K3" s="4533"/>
      <c r="L3" s="4533"/>
      <c r="M3" s="4533"/>
    </row>
    <row r="4" spans="1:13" s="4500" customFormat="1">
      <c r="A4" s="4519" t="s">
        <v>1885</v>
      </c>
      <c r="B4" s="4533"/>
      <c r="C4" s="4533"/>
      <c r="D4" s="4533"/>
      <c r="E4" s="4533"/>
      <c r="F4" s="4533"/>
      <c r="G4" s="4533"/>
      <c r="H4" s="4533"/>
      <c r="I4" s="4533"/>
      <c r="J4" s="4533"/>
      <c r="K4" s="4533"/>
      <c r="L4" s="4533"/>
      <c r="M4" s="4533"/>
    </row>
    <row r="5" spans="1:13" s="4500" customFormat="1">
      <c r="A5" s="5543" t="s">
        <v>1525</v>
      </c>
      <c r="B5" s="5545" t="s">
        <v>1526</v>
      </c>
      <c r="C5" s="5545"/>
      <c r="D5" s="5546" t="s">
        <v>1527</v>
      </c>
      <c r="E5" s="5546"/>
      <c r="F5" s="5547" t="s">
        <v>1528</v>
      </c>
      <c r="G5" s="5547"/>
      <c r="H5" s="5548" t="s">
        <v>1529</v>
      </c>
      <c r="I5" s="5548"/>
      <c r="J5" s="5542" t="s">
        <v>1623</v>
      </c>
      <c r="K5" s="5542"/>
      <c r="L5" s="5541" t="s">
        <v>1514</v>
      </c>
      <c r="M5" s="5541"/>
    </row>
    <row r="6" spans="1:13" s="4500" customFormat="1">
      <c r="A6" s="5544"/>
      <c r="B6" s="4534" t="s">
        <v>1532</v>
      </c>
      <c r="C6" s="4534" t="s">
        <v>1531</v>
      </c>
      <c r="D6" s="4535" t="s">
        <v>1532</v>
      </c>
      <c r="E6" s="4535" t="s">
        <v>1531</v>
      </c>
      <c r="F6" s="4536" t="s">
        <v>1530</v>
      </c>
      <c r="G6" s="4536" t="s">
        <v>1554</v>
      </c>
      <c r="H6" s="4537" t="s">
        <v>1532</v>
      </c>
      <c r="I6" s="4537" t="s">
        <v>1531</v>
      </c>
      <c r="J6" s="4538" t="s">
        <v>1532</v>
      </c>
      <c r="K6" s="4538" t="s">
        <v>1531</v>
      </c>
      <c r="L6" s="4539" t="s">
        <v>1532</v>
      </c>
      <c r="M6" s="4539" t="s">
        <v>1531</v>
      </c>
    </row>
    <row r="7" spans="1:13" s="4500" customFormat="1">
      <c r="A7" s="4521" t="s">
        <v>1533</v>
      </c>
      <c r="B7" s="4525">
        <v>581</v>
      </c>
      <c r="C7" s="4525">
        <v>342</v>
      </c>
      <c r="D7" s="4526">
        <v>112</v>
      </c>
      <c r="E7" s="4526">
        <v>1278</v>
      </c>
      <c r="F7" s="4527">
        <v>1992</v>
      </c>
      <c r="G7" s="4527">
        <v>143</v>
      </c>
      <c r="H7" s="4526">
        <v>93</v>
      </c>
      <c r="I7" s="4526">
        <v>340</v>
      </c>
      <c r="J7" s="4526">
        <v>1879</v>
      </c>
      <c r="K7" s="4526">
        <v>0</v>
      </c>
      <c r="L7" s="4526">
        <v>31861</v>
      </c>
      <c r="M7" s="4526">
        <f t="shared" ref="M7:M27" si="0">C7+E7+G7+I7+K7</f>
        <v>2103</v>
      </c>
    </row>
    <row r="8" spans="1:13" s="4500" customFormat="1">
      <c r="A8" s="4521" t="s">
        <v>1534</v>
      </c>
      <c r="B8" s="4525">
        <v>235</v>
      </c>
      <c r="C8" s="4525"/>
      <c r="D8" s="4526">
        <v>182</v>
      </c>
      <c r="E8" s="4526"/>
      <c r="F8" s="4527">
        <v>46</v>
      </c>
      <c r="G8" s="4527">
        <v>0</v>
      </c>
      <c r="H8" s="4526">
        <v>96</v>
      </c>
      <c r="I8" s="4526">
        <v>0</v>
      </c>
      <c r="J8" s="4526">
        <v>53</v>
      </c>
      <c r="K8" s="4526">
        <v>0</v>
      </c>
      <c r="L8" s="4526">
        <f>B8+D8+F8+H8+J8</f>
        <v>612</v>
      </c>
      <c r="M8" s="4526">
        <f t="shared" si="0"/>
        <v>0</v>
      </c>
    </row>
    <row r="9" spans="1:13" s="4500" customFormat="1">
      <c r="A9" s="4521" t="s">
        <v>1535</v>
      </c>
      <c r="B9" s="4525">
        <v>328</v>
      </c>
      <c r="C9" s="4525">
        <v>126</v>
      </c>
      <c r="D9" s="4526">
        <v>21</v>
      </c>
      <c r="E9" s="4526">
        <v>198</v>
      </c>
      <c r="F9" s="4527">
        <v>50</v>
      </c>
      <c r="G9" s="4527">
        <v>106</v>
      </c>
      <c r="H9" s="4526">
        <v>28</v>
      </c>
      <c r="I9" s="4526">
        <v>63</v>
      </c>
      <c r="J9" s="4526">
        <v>229</v>
      </c>
      <c r="K9" s="4526">
        <v>0</v>
      </c>
      <c r="L9" s="4526">
        <f t="shared" ref="L9:L27" si="1">B9+D9+F9+H9+J9</f>
        <v>656</v>
      </c>
      <c r="M9" s="4526">
        <f t="shared" si="0"/>
        <v>493</v>
      </c>
    </row>
    <row r="10" spans="1:13" s="4500" customFormat="1">
      <c r="A10" s="4521" t="s">
        <v>1536</v>
      </c>
      <c r="B10" s="4525">
        <v>250</v>
      </c>
      <c r="C10" s="4525">
        <v>92</v>
      </c>
      <c r="D10" s="4526">
        <v>135</v>
      </c>
      <c r="E10" s="4526">
        <v>601</v>
      </c>
      <c r="F10" s="4527">
        <v>118</v>
      </c>
      <c r="G10" s="4527">
        <v>272</v>
      </c>
      <c r="H10" s="4526">
        <v>36</v>
      </c>
      <c r="I10" s="4526">
        <v>47</v>
      </c>
      <c r="J10" s="4526">
        <v>144</v>
      </c>
      <c r="K10" s="4526">
        <v>0</v>
      </c>
      <c r="L10" s="4526">
        <f t="shared" si="1"/>
        <v>683</v>
      </c>
      <c r="M10" s="4526">
        <f t="shared" si="0"/>
        <v>1012</v>
      </c>
    </row>
    <row r="11" spans="1:13" s="4500" customFormat="1">
      <c r="A11" s="4521" t="s">
        <v>1537</v>
      </c>
      <c r="B11" s="4525">
        <v>42</v>
      </c>
      <c r="C11" s="4525"/>
      <c r="D11" s="4526">
        <v>131</v>
      </c>
      <c r="E11" s="4526"/>
      <c r="F11" s="4527">
        <v>54</v>
      </c>
      <c r="G11" s="4527">
        <v>0</v>
      </c>
      <c r="H11" s="4526">
        <v>6</v>
      </c>
      <c r="I11" s="4526">
        <v>0</v>
      </c>
      <c r="J11" s="4526">
        <v>0</v>
      </c>
      <c r="K11" s="4526">
        <v>0</v>
      </c>
      <c r="L11" s="4526">
        <f t="shared" si="1"/>
        <v>233</v>
      </c>
      <c r="M11" s="4526">
        <f t="shared" si="0"/>
        <v>0</v>
      </c>
    </row>
    <row r="12" spans="1:13" s="4500" customFormat="1">
      <c r="A12" s="4521" t="s">
        <v>1538</v>
      </c>
      <c r="B12" s="4525">
        <v>146</v>
      </c>
      <c r="C12" s="4525">
        <v>61</v>
      </c>
      <c r="D12" s="4526">
        <v>3</v>
      </c>
      <c r="E12" s="4526">
        <v>22</v>
      </c>
      <c r="F12" s="4527">
        <v>3</v>
      </c>
      <c r="G12" s="4527">
        <v>7</v>
      </c>
      <c r="H12" s="4526">
        <v>0</v>
      </c>
      <c r="I12" s="4526">
        <v>10</v>
      </c>
      <c r="J12" s="4526">
        <v>129</v>
      </c>
      <c r="K12" s="4526">
        <v>0</v>
      </c>
      <c r="L12" s="4526">
        <f t="shared" si="1"/>
        <v>281</v>
      </c>
      <c r="M12" s="4526">
        <f t="shared" si="0"/>
        <v>100</v>
      </c>
    </row>
    <row r="13" spans="1:13" s="4500" customFormat="1">
      <c r="A13" s="4521" t="s">
        <v>1539</v>
      </c>
      <c r="B13" s="4525">
        <v>48</v>
      </c>
      <c r="C13" s="4525"/>
      <c r="D13" s="4526">
        <v>0</v>
      </c>
      <c r="E13" s="4526">
        <v>2</v>
      </c>
      <c r="F13" s="4527">
        <v>0</v>
      </c>
      <c r="G13" s="4527">
        <v>0</v>
      </c>
      <c r="H13" s="4526">
        <v>4</v>
      </c>
      <c r="I13" s="4526">
        <v>0</v>
      </c>
      <c r="J13" s="4526">
        <v>0</v>
      </c>
      <c r="K13" s="4526">
        <v>0</v>
      </c>
      <c r="L13" s="4526">
        <f t="shared" si="1"/>
        <v>52</v>
      </c>
      <c r="M13" s="4526">
        <f t="shared" si="0"/>
        <v>2</v>
      </c>
    </row>
    <row r="14" spans="1:13" s="4500" customFormat="1">
      <c r="A14" s="4521" t="s">
        <v>1540</v>
      </c>
      <c r="B14" s="4525">
        <v>17</v>
      </c>
      <c r="C14" s="4525">
        <v>12</v>
      </c>
      <c r="D14" s="4526">
        <v>0</v>
      </c>
      <c r="E14" s="4526">
        <v>2</v>
      </c>
      <c r="F14" s="4527">
        <v>0</v>
      </c>
      <c r="G14" s="4527">
        <v>0</v>
      </c>
      <c r="H14" s="4526">
        <v>0</v>
      </c>
      <c r="I14" s="4526">
        <v>2</v>
      </c>
      <c r="J14" s="4526">
        <v>0</v>
      </c>
      <c r="K14" s="4526">
        <v>0</v>
      </c>
      <c r="L14" s="4526">
        <f t="shared" si="1"/>
        <v>17</v>
      </c>
      <c r="M14" s="4526">
        <f t="shared" si="0"/>
        <v>16</v>
      </c>
    </row>
    <row r="15" spans="1:13" s="4500" customFormat="1">
      <c r="A15" s="4521" t="s">
        <v>1541</v>
      </c>
      <c r="B15" s="4525">
        <v>2</v>
      </c>
      <c r="C15" s="4525">
        <v>2</v>
      </c>
      <c r="D15" s="4526">
        <v>1</v>
      </c>
      <c r="E15" s="4526">
        <v>2</v>
      </c>
      <c r="F15" s="4527">
        <v>0</v>
      </c>
      <c r="G15" s="4527">
        <v>1</v>
      </c>
      <c r="H15" s="4526">
        <v>0</v>
      </c>
      <c r="I15" s="4526">
        <v>2</v>
      </c>
      <c r="J15" s="4526">
        <v>0</v>
      </c>
      <c r="K15" s="4526">
        <v>0</v>
      </c>
      <c r="L15" s="4526">
        <f t="shared" si="1"/>
        <v>3</v>
      </c>
      <c r="M15" s="4526">
        <f t="shared" si="0"/>
        <v>7</v>
      </c>
    </row>
    <row r="16" spans="1:13" s="4500" customFormat="1">
      <c r="A16" s="4521" t="s">
        <v>1542</v>
      </c>
      <c r="B16" s="4525">
        <v>0</v>
      </c>
      <c r="C16" s="4525"/>
      <c r="D16" s="4526">
        <v>0</v>
      </c>
      <c r="E16" s="4526">
        <v>0</v>
      </c>
      <c r="F16" s="4527">
        <v>0</v>
      </c>
      <c r="G16" s="4527">
        <v>0</v>
      </c>
      <c r="H16" s="4526">
        <v>0</v>
      </c>
      <c r="I16" s="4526">
        <v>0</v>
      </c>
      <c r="J16" s="4526">
        <v>0</v>
      </c>
      <c r="K16" s="4526">
        <v>0</v>
      </c>
      <c r="L16" s="4526">
        <f t="shared" si="1"/>
        <v>0</v>
      </c>
      <c r="M16" s="4526">
        <f t="shared" si="0"/>
        <v>0</v>
      </c>
    </row>
    <row r="17" spans="1:13" s="4500" customFormat="1">
      <c r="A17" s="4521" t="s">
        <v>1543</v>
      </c>
      <c r="B17" s="4525">
        <v>12</v>
      </c>
      <c r="C17" s="4525"/>
      <c r="D17" s="4526">
        <v>29</v>
      </c>
      <c r="E17" s="4526">
        <v>0</v>
      </c>
      <c r="F17" s="4527">
        <v>16</v>
      </c>
      <c r="G17" s="4527">
        <v>0</v>
      </c>
      <c r="H17" s="4526">
        <v>8</v>
      </c>
      <c r="I17" s="4526">
        <v>0</v>
      </c>
      <c r="J17" s="4526">
        <v>0</v>
      </c>
      <c r="K17" s="4526">
        <v>0</v>
      </c>
      <c r="L17" s="4526">
        <f t="shared" si="1"/>
        <v>65</v>
      </c>
      <c r="M17" s="4526">
        <f t="shared" si="0"/>
        <v>0</v>
      </c>
    </row>
    <row r="18" spans="1:13" s="4500" customFormat="1">
      <c r="A18" s="4521" t="s">
        <v>1544</v>
      </c>
      <c r="B18" s="4526">
        <v>0</v>
      </c>
      <c r="C18" s="4526">
        <v>3</v>
      </c>
      <c r="D18" s="4526">
        <v>0</v>
      </c>
      <c r="E18" s="4526">
        <v>0</v>
      </c>
      <c r="F18" s="4526">
        <v>0</v>
      </c>
      <c r="G18" s="4526">
        <v>0</v>
      </c>
      <c r="H18" s="4526">
        <v>0</v>
      </c>
      <c r="I18" s="4526">
        <v>6</v>
      </c>
      <c r="J18" s="4526">
        <v>8</v>
      </c>
      <c r="K18" s="4526">
        <v>0</v>
      </c>
      <c r="L18" s="4526">
        <f t="shared" si="1"/>
        <v>8</v>
      </c>
      <c r="M18" s="4526">
        <f t="shared" si="0"/>
        <v>9</v>
      </c>
    </row>
    <row r="19" spans="1:13" s="4500" customFormat="1">
      <c r="A19" s="4521" t="s">
        <v>1545</v>
      </c>
      <c r="B19" s="4525">
        <v>0</v>
      </c>
      <c r="C19" s="4525">
        <v>0</v>
      </c>
      <c r="D19" s="4526">
        <v>0</v>
      </c>
      <c r="E19" s="4526">
        <v>0</v>
      </c>
      <c r="F19" s="4527">
        <v>0</v>
      </c>
      <c r="G19" s="4527">
        <v>0</v>
      </c>
      <c r="H19" s="4527">
        <v>0</v>
      </c>
      <c r="I19" s="4527">
        <v>16</v>
      </c>
      <c r="J19" s="4526">
        <v>1876</v>
      </c>
      <c r="K19" s="4526">
        <v>0</v>
      </c>
      <c r="L19" s="4526">
        <f t="shared" si="1"/>
        <v>1876</v>
      </c>
      <c r="M19" s="4526">
        <f t="shared" si="0"/>
        <v>16</v>
      </c>
    </row>
    <row r="20" spans="1:13" s="4500" customFormat="1">
      <c r="A20" s="4521" t="s">
        <v>1555</v>
      </c>
      <c r="B20" s="4525">
        <v>0</v>
      </c>
      <c r="C20" s="4525">
        <v>0</v>
      </c>
      <c r="D20" s="4526">
        <v>0</v>
      </c>
      <c r="E20" s="4526">
        <v>0</v>
      </c>
      <c r="F20" s="4527">
        <v>0</v>
      </c>
      <c r="G20" s="4527">
        <v>0</v>
      </c>
      <c r="H20" s="4527">
        <v>0</v>
      </c>
      <c r="I20" s="4527">
        <v>0</v>
      </c>
      <c r="J20" s="4526">
        <v>5</v>
      </c>
      <c r="K20" s="4526">
        <v>0</v>
      </c>
      <c r="L20" s="4526">
        <f t="shared" si="1"/>
        <v>5</v>
      </c>
      <c r="M20" s="4526">
        <f t="shared" si="0"/>
        <v>0</v>
      </c>
    </row>
    <row r="21" spans="1:13" s="4500" customFormat="1">
      <c r="A21" s="4521" t="s">
        <v>1546</v>
      </c>
      <c r="B21" s="4525">
        <v>0</v>
      </c>
      <c r="C21" s="4525">
        <v>0</v>
      </c>
      <c r="D21" s="4526">
        <v>0</v>
      </c>
      <c r="E21" s="4526">
        <v>0</v>
      </c>
      <c r="F21" s="4527">
        <v>0</v>
      </c>
      <c r="G21" s="4527">
        <v>0</v>
      </c>
      <c r="H21" s="4527">
        <v>0</v>
      </c>
      <c r="I21" s="4527">
        <v>0</v>
      </c>
      <c r="J21" s="4526">
        <v>0</v>
      </c>
      <c r="K21" s="4526">
        <v>0</v>
      </c>
      <c r="L21" s="4526">
        <f t="shared" si="1"/>
        <v>0</v>
      </c>
      <c r="M21" s="4526">
        <f t="shared" si="0"/>
        <v>0</v>
      </c>
    </row>
    <row r="22" spans="1:13" s="4500" customFormat="1">
      <c r="A22" s="4521" t="s">
        <v>1547</v>
      </c>
      <c r="B22" s="4525">
        <v>0</v>
      </c>
      <c r="C22" s="4525">
        <v>0</v>
      </c>
      <c r="D22" s="4526">
        <v>0</v>
      </c>
      <c r="E22" s="4526">
        <v>0</v>
      </c>
      <c r="F22" s="4527"/>
      <c r="G22" s="4527">
        <v>0</v>
      </c>
      <c r="H22" s="4527">
        <v>0</v>
      </c>
      <c r="I22" s="4527">
        <v>0</v>
      </c>
      <c r="J22" s="4526">
        <v>0</v>
      </c>
      <c r="K22" s="4526">
        <v>0</v>
      </c>
      <c r="L22" s="4526">
        <f t="shared" si="1"/>
        <v>0</v>
      </c>
      <c r="M22" s="4526">
        <f t="shared" si="0"/>
        <v>0</v>
      </c>
    </row>
    <row r="23" spans="1:13" s="4500" customFormat="1" ht="100.8">
      <c r="A23" s="4501" t="s">
        <v>1886</v>
      </c>
      <c r="B23" s="4525">
        <v>0</v>
      </c>
      <c r="C23" s="4525">
        <v>0</v>
      </c>
      <c r="D23" s="4526">
        <v>0</v>
      </c>
      <c r="E23" s="4526">
        <v>0</v>
      </c>
      <c r="F23" s="4527">
        <v>0</v>
      </c>
      <c r="G23" s="4527">
        <v>0</v>
      </c>
      <c r="H23" s="4527">
        <v>350</v>
      </c>
      <c r="I23" s="4527">
        <v>0</v>
      </c>
      <c r="J23" s="4526">
        <v>0</v>
      </c>
      <c r="K23" s="4526">
        <v>0</v>
      </c>
      <c r="L23" s="4526">
        <f t="shared" si="1"/>
        <v>350</v>
      </c>
      <c r="M23" s="4526">
        <f t="shared" si="0"/>
        <v>0</v>
      </c>
    </row>
    <row r="24" spans="1:13" s="4500" customFormat="1">
      <c r="A24" s="4501" t="s">
        <v>1547</v>
      </c>
      <c r="B24" s="4525">
        <v>0</v>
      </c>
      <c r="C24" s="4525">
        <v>0</v>
      </c>
      <c r="D24" s="4526">
        <v>0</v>
      </c>
      <c r="E24" s="4526">
        <v>0</v>
      </c>
      <c r="F24" s="4527">
        <v>0</v>
      </c>
      <c r="G24" s="4527">
        <v>0</v>
      </c>
      <c r="H24" s="4527">
        <v>0</v>
      </c>
      <c r="I24" s="4527">
        <v>0</v>
      </c>
      <c r="J24" s="4526">
        <v>0</v>
      </c>
      <c r="K24" s="4526"/>
      <c r="L24" s="4526">
        <f t="shared" si="1"/>
        <v>0</v>
      </c>
      <c r="M24" s="4526">
        <f t="shared" si="0"/>
        <v>0</v>
      </c>
    </row>
    <row r="25" spans="1:13" s="4500" customFormat="1">
      <c r="A25" s="4522" t="s">
        <v>1548</v>
      </c>
      <c r="B25" s="4525"/>
      <c r="C25" s="4525">
        <v>0</v>
      </c>
      <c r="D25" s="4526">
        <v>0</v>
      </c>
      <c r="E25" s="4526">
        <v>0</v>
      </c>
      <c r="F25" s="4527">
        <v>0</v>
      </c>
      <c r="G25" s="4527">
        <v>0</v>
      </c>
      <c r="H25" s="4527">
        <v>0</v>
      </c>
      <c r="I25" s="4527">
        <v>0</v>
      </c>
      <c r="J25" s="4526">
        <v>0</v>
      </c>
      <c r="K25" s="4526">
        <v>0</v>
      </c>
      <c r="L25" s="4526">
        <f t="shared" si="1"/>
        <v>0</v>
      </c>
      <c r="M25" s="4526">
        <f t="shared" si="0"/>
        <v>0</v>
      </c>
    </row>
    <row r="26" spans="1:13" s="4500" customFormat="1" ht="28.8">
      <c r="A26" s="4522" t="s">
        <v>1887</v>
      </c>
      <c r="B26" s="4525">
        <v>0</v>
      </c>
      <c r="C26" s="4525">
        <v>0</v>
      </c>
      <c r="D26" s="4526">
        <v>0</v>
      </c>
      <c r="E26" s="4526">
        <v>0</v>
      </c>
      <c r="F26" s="4527">
        <v>0</v>
      </c>
      <c r="G26" s="4527">
        <v>0</v>
      </c>
      <c r="H26" s="4526">
        <v>214</v>
      </c>
      <c r="I26" s="4526">
        <v>0</v>
      </c>
      <c r="J26" s="4526">
        <v>0</v>
      </c>
      <c r="K26" s="4526">
        <v>0</v>
      </c>
      <c r="L26" s="4526">
        <f t="shared" si="1"/>
        <v>214</v>
      </c>
      <c r="M26" s="4526">
        <f t="shared" si="0"/>
        <v>0</v>
      </c>
    </row>
    <row r="27" spans="1:13" s="4500" customFormat="1">
      <c r="A27" s="4522" t="s">
        <v>1549</v>
      </c>
      <c r="B27" s="4526">
        <v>0</v>
      </c>
      <c r="C27" s="4526">
        <v>0</v>
      </c>
      <c r="D27" s="4526">
        <v>0</v>
      </c>
      <c r="E27" s="4526">
        <v>0</v>
      </c>
      <c r="F27" s="4527">
        <v>0</v>
      </c>
      <c r="G27" s="4527">
        <v>0</v>
      </c>
      <c r="H27" s="4526">
        <v>0</v>
      </c>
      <c r="I27" s="4526">
        <v>0</v>
      </c>
      <c r="J27" s="4526">
        <v>0</v>
      </c>
      <c r="K27" s="4526">
        <v>0</v>
      </c>
      <c r="L27" s="4526">
        <f t="shared" si="1"/>
        <v>0</v>
      </c>
      <c r="M27" s="4526">
        <f t="shared" si="0"/>
        <v>0</v>
      </c>
    </row>
    <row r="28" spans="1:13" s="4500" customFormat="1">
      <c r="A28" s="4522" t="s">
        <v>1888</v>
      </c>
      <c r="B28" s="4526"/>
      <c r="C28" s="4526"/>
      <c r="D28" s="4526"/>
      <c r="E28" s="4526"/>
      <c r="F28" s="4527">
        <v>0</v>
      </c>
      <c r="G28" s="4527">
        <v>0</v>
      </c>
      <c r="H28" s="4526"/>
      <c r="I28" s="4526"/>
      <c r="J28" s="4526"/>
      <c r="K28" s="4526"/>
      <c r="L28" s="4526"/>
      <c r="M28" s="4526"/>
    </row>
    <row r="29" spans="1:13" s="4500" customFormat="1">
      <c r="A29" s="4522" t="s">
        <v>1889</v>
      </c>
      <c r="B29" s="4526"/>
      <c r="C29" s="4526"/>
      <c r="D29" s="4526"/>
      <c r="E29" s="4526"/>
      <c r="F29" s="4527">
        <v>0</v>
      </c>
      <c r="G29" s="4527">
        <v>0</v>
      </c>
      <c r="H29" s="4526"/>
      <c r="I29" s="4526"/>
      <c r="J29" s="4526"/>
      <c r="K29" s="4526"/>
      <c r="L29" s="4526"/>
      <c r="M29" s="4526"/>
    </row>
    <row r="30" spans="1:13" s="4500" customFormat="1">
      <c r="A30" s="4523" t="s">
        <v>1890</v>
      </c>
      <c r="B30" s="4526">
        <v>0</v>
      </c>
      <c r="C30" s="4526">
        <v>0</v>
      </c>
      <c r="D30" s="4526">
        <v>0</v>
      </c>
      <c r="E30" s="4526"/>
      <c r="F30" s="4527">
        <v>0</v>
      </c>
      <c r="G30" s="4527">
        <v>0</v>
      </c>
      <c r="H30" s="4526">
        <v>0</v>
      </c>
      <c r="I30" s="4526">
        <v>0</v>
      </c>
      <c r="J30" s="4526">
        <v>0</v>
      </c>
      <c r="K30" s="4526">
        <v>0</v>
      </c>
      <c r="L30" s="4526">
        <f t="shared" ref="L30:M34" si="2">B30+D30+F30+H30+J30</f>
        <v>0</v>
      </c>
      <c r="M30" s="4526">
        <f t="shared" si="2"/>
        <v>0</v>
      </c>
    </row>
    <row r="31" spans="1:13" s="4500" customFormat="1">
      <c r="A31" s="4523" t="s">
        <v>1891</v>
      </c>
      <c r="B31" s="4526">
        <v>0</v>
      </c>
      <c r="C31" s="4526">
        <v>0</v>
      </c>
      <c r="D31" s="4526"/>
      <c r="E31" s="4526">
        <v>0</v>
      </c>
      <c r="F31" s="4527">
        <v>0</v>
      </c>
      <c r="G31" s="4527">
        <v>0</v>
      </c>
      <c r="H31" s="4526">
        <v>0</v>
      </c>
      <c r="I31" s="4526">
        <v>0</v>
      </c>
      <c r="J31" s="4526">
        <v>0</v>
      </c>
      <c r="K31" s="4526">
        <v>0</v>
      </c>
      <c r="L31" s="4526">
        <f t="shared" si="2"/>
        <v>0</v>
      </c>
      <c r="M31" s="4526">
        <f t="shared" si="2"/>
        <v>0</v>
      </c>
    </row>
    <row r="32" spans="1:13" s="4500" customFormat="1" ht="28.8">
      <c r="A32" s="4523" t="s">
        <v>1892</v>
      </c>
      <c r="B32" s="4526">
        <v>0</v>
      </c>
      <c r="C32" s="4526">
        <v>0</v>
      </c>
      <c r="D32" s="4526"/>
      <c r="E32" s="4526">
        <v>0</v>
      </c>
      <c r="F32" s="4527">
        <v>0</v>
      </c>
      <c r="G32" s="4527">
        <v>0</v>
      </c>
      <c r="H32" s="4526">
        <v>0</v>
      </c>
      <c r="I32" s="4526">
        <v>0</v>
      </c>
      <c r="J32" s="4526">
        <v>0</v>
      </c>
      <c r="K32" s="4526">
        <v>0</v>
      </c>
      <c r="L32" s="4526">
        <f t="shared" si="2"/>
        <v>0</v>
      </c>
      <c r="M32" s="4526">
        <f t="shared" si="2"/>
        <v>0</v>
      </c>
    </row>
    <row r="33" spans="1:13" s="4500" customFormat="1" ht="28.8">
      <c r="A33" s="4523" t="s">
        <v>1893</v>
      </c>
      <c r="B33" s="4526">
        <v>0</v>
      </c>
      <c r="C33" s="4526">
        <v>0</v>
      </c>
      <c r="D33" s="4526"/>
      <c r="E33" s="4526">
        <v>0</v>
      </c>
      <c r="F33" s="4527">
        <v>0</v>
      </c>
      <c r="G33" s="4527">
        <v>0</v>
      </c>
      <c r="H33" s="4526">
        <v>0</v>
      </c>
      <c r="I33" s="4526">
        <v>0</v>
      </c>
      <c r="J33" s="4526">
        <v>0</v>
      </c>
      <c r="K33" s="4526">
        <v>0</v>
      </c>
      <c r="L33" s="4526">
        <f t="shared" si="2"/>
        <v>0</v>
      </c>
      <c r="M33" s="4526">
        <f t="shared" si="2"/>
        <v>0</v>
      </c>
    </row>
    <row r="34" spans="1:13" s="4500" customFormat="1">
      <c r="A34" s="4523" t="s">
        <v>1894</v>
      </c>
      <c r="B34" s="4526">
        <v>0</v>
      </c>
      <c r="C34" s="4526">
        <v>0</v>
      </c>
      <c r="D34" s="4526"/>
      <c r="E34" s="4526">
        <v>0</v>
      </c>
      <c r="F34" s="4527">
        <v>0</v>
      </c>
      <c r="G34" s="4527">
        <v>0</v>
      </c>
      <c r="H34" s="4526">
        <v>0</v>
      </c>
      <c r="I34" s="4526">
        <v>0</v>
      </c>
      <c r="J34" s="4526">
        <v>0</v>
      </c>
      <c r="K34" s="4526">
        <v>0</v>
      </c>
      <c r="L34" s="4526">
        <f t="shared" si="2"/>
        <v>0</v>
      </c>
      <c r="M34" s="4526">
        <f t="shared" si="2"/>
        <v>0</v>
      </c>
    </row>
    <row r="35" spans="1:13" s="4500" customFormat="1">
      <c r="A35" s="4502" t="s">
        <v>1550</v>
      </c>
      <c r="B35" s="4528">
        <f t="shared" ref="B35:M35" si="3">SUM(B7:B34)</f>
        <v>1661</v>
      </c>
      <c r="C35" s="4528">
        <f t="shared" si="3"/>
        <v>638</v>
      </c>
      <c r="D35" s="4528">
        <f t="shared" si="3"/>
        <v>614</v>
      </c>
      <c r="E35" s="4528">
        <f t="shared" si="3"/>
        <v>2105</v>
      </c>
      <c r="F35" s="4528">
        <f t="shared" si="3"/>
        <v>2279</v>
      </c>
      <c r="G35" s="4528">
        <f t="shared" si="3"/>
        <v>529</v>
      </c>
      <c r="H35" s="4528">
        <f t="shared" si="3"/>
        <v>835</v>
      </c>
      <c r="I35" s="4528">
        <f t="shared" si="3"/>
        <v>486</v>
      </c>
      <c r="J35" s="4528">
        <f t="shared" si="3"/>
        <v>4323</v>
      </c>
      <c r="K35" s="4528">
        <f t="shared" si="3"/>
        <v>0</v>
      </c>
      <c r="L35" s="4528">
        <f t="shared" si="3"/>
        <v>36916</v>
      </c>
      <c r="M35" s="4528">
        <f t="shared" si="3"/>
        <v>3758</v>
      </c>
    </row>
    <row r="36" spans="1:13" s="4500" customFormat="1">
      <c r="A36" s="4503" t="s">
        <v>1551</v>
      </c>
      <c r="B36" s="4529">
        <f>SUM(B35+C35)</f>
        <v>2299</v>
      </c>
      <c r="C36" s="4529"/>
      <c r="D36" s="4529">
        <f>SUM(D35+E35)</f>
        <v>2719</v>
      </c>
      <c r="E36" s="4529"/>
      <c r="F36" s="4529">
        <f>SUM(F35+G35)</f>
        <v>2808</v>
      </c>
      <c r="G36" s="4529"/>
      <c r="H36" s="4530">
        <f>SUM(H35:I35)</f>
        <v>1321</v>
      </c>
      <c r="I36" s="4531"/>
      <c r="J36" s="4529">
        <f>SUM(J35+K35)</f>
        <v>4323</v>
      </c>
      <c r="K36" s="4529"/>
      <c r="L36" s="4532">
        <f>SUM(L35:M35)</f>
        <v>40674</v>
      </c>
      <c r="M36" s="4532"/>
    </row>
    <row r="37" spans="1:13" s="4500" customFormat="1">
      <c r="A37" s="4524"/>
      <c r="B37" s="4540"/>
      <c r="C37" s="4540"/>
      <c r="D37" s="4540"/>
      <c r="E37" s="4540"/>
      <c r="F37" s="4541"/>
      <c r="G37" s="4541"/>
      <c r="H37" s="4541"/>
      <c r="I37" s="4541"/>
      <c r="J37" s="4541"/>
      <c r="K37" s="4541"/>
      <c r="L37" s="4541"/>
      <c r="M37" s="4541"/>
    </row>
    <row r="38" spans="1:13" s="4500" customFormat="1">
      <c r="A38" s="4524"/>
      <c r="B38" s="4540"/>
      <c r="C38" s="4540"/>
      <c r="D38" s="4540"/>
      <c r="E38" s="4540"/>
      <c r="F38" s="4541"/>
      <c r="G38" s="4541"/>
      <c r="H38" s="4541"/>
      <c r="I38" s="4541"/>
      <c r="J38" s="4541"/>
      <c r="K38" s="4541"/>
      <c r="L38" s="4541"/>
      <c r="M38" s="4541"/>
    </row>
    <row r="39" spans="1:13" ht="28.8">
      <c r="A39" s="4519" t="s">
        <v>1523</v>
      </c>
      <c r="B39" s="4533"/>
      <c r="C39" s="4533"/>
      <c r="D39" s="4533"/>
      <c r="E39" s="4533"/>
      <c r="F39" s="4533"/>
      <c r="G39" s="4533"/>
      <c r="H39" s="4533"/>
      <c r="I39" s="4533"/>
      <c r="J39" s="4533"/>
      <c r="K39" s="4533"/>
      <c r="L39" s="4533"/>
      <c r="M39" s="4533"/>
    </row>
    <row r="40" spans="1:13">
      <c r="A40" s="4520" t="s">
        <v>1524</v>
      </c>
      <c r="B40" s="4533"/>
      <c r="C40" s="4533"/>
      <c r="D40" s="4533"/>
      <c r="E40" s="4533"/>
      <c r="F40" s="4533"/>
      <c r="G40" s="4533"/>
      <c r="H40" s="4533"/>
      <c r="I40" s="4533"/>
      <c r="J40" s="4533"/>
      <c r="K40" s="4533"/>
      <c r="L40" s="4533"/>
      <c r="M40" s="4533"/>
    </row>
    <row r="41" spans="1:13">
      <c r="A41" s="4519" t="s">
        <v>1883</v>
      </c>
      <c r="B41" s="4533"/>
      <c r="C41" s="4533"/>
      <c r="D41" s="4533"/>
      <c r="E41" s="4533"/>
      <c r="F41" s="4533"/>
      <c r="G41" s="4533"/>
      <c r="H41" s="4533"/>
      <c r="I41" s="4533"/>
      <c r="J41" s="4533"/>
      <c r="K41" s="4533"/>
      <c r="L41" s="4533"/>
      <c r="M41" s="4533"/>
    </row>
    <row r="42" spans="1:13" ht="14.4" customHeight="1">
      <c r="A42" s="5543" t="s">
        <v>1525</v>
      </c>
      <c r="B42" s="5545" t="s">
        <v>1526</v>
      </c>
      <c r="C42" s="5545"/>
      <c r="D42" s="5546" t="s">
        <v>1527</v>
      </c>
      <c r="E42" s="5546"/>
      <c r="F42" s="5547" t="s">
        <v>1528</v>
      </c>
      <c r="G42" s="5547"/>
      <c r="H42" s="5548" t="s">
        <v>1529</v>
      </c>
      <c r="I42" s="5548"/>
      <c r="J42" s="5542" t="s">
        <v>1623</v>
      </c>
      <c r="K42" s="5542"/>
      <c r="L42" s="5541" t="s">
        <v>1514</v>
      </c>
      <c r="M42" s="5541"/>
    </row>
    <row r="43" spans="1:13" ht="33.75" customHeight="1">
      <c r="A43" s="5544"/>
      <c r="B43" s="4534" t="s">
        <v>1532</v>
      </c>
      <c r="C43" s="4534" t="s">
        <v>1531</v>
      </c>
      <c r="D43" s="4535" t="s">
        <v>1532</v>
      </c>
      <c r="E43" s="4535" t="s">
        <v>1531</v>
      </c>
      <c r="F43" s="4536" t="s">
        <v>1530</v>
      </c>
      <c r="G43" s="4536" t="s">
        <v>1554</v>
      </c>
      <c r="H43" s="4537" t="s">
        <v>1532</v>
      </c>
      <c r="I43" s="4537" t="s">
        <v>1531</v>
      </c>
      <c r="J43" s="4538" t="s">
        <v>1532</v>
      </c>
      <c r="K43" s="4538" t="s">
        <v>1531</v>
      </c>
      <c r="L43" s="4539" t="s">
        <v>1532</v>
      </c>
      <c r="M43" s="4539" t="s">
        <v>1531</v>
      </c>
    </row>
    <row r="44" spans="1:13" ht="15.75" customHeight="1">
      <c r="A44" s="4521" t="s">
        <v>1533</v>
      </c>
      <c r="B44" s="4525">
        <v>7552</v>
      </c>
      <c r="C44" s="4525">
        <v>4439</v>
      </c>
      <c r="D44" s="4526">
        <v>1455</v>
      </c>
      <c r="E44" s="4526">
        <v>15935</v>
      </c>
      <c r="F44" s="4527">
        <v>1849</v>
      </c>
      <c r="G44" s="4527">
        <v>4815</v>
      </c>
      <c r="H44" s="4526">
        <v>1240</v>
      </c>
      <c r="I44" s="4526">
        <v>3630</v>
      </c>
      <c r="J44" s="4526">
        <v>24422</v>
      </c>
      <c r="K44" s="4526">
        <v>0</v>
      </c>
      <c r="L44" s="4526">
        <f t="shared" ref="L44:M64" si="4">B44+D44+F44+H44+J44</f>
        <v>36518</v>
      </c>
      <c r="M44" s="4526">
        <f t="shared" si="4"/>
        <v>28819</v>
      </c>
    </row>
    <row r="45" spans="1:13" ht="14.4" customHeight="1">
      <c r="A45" s="4521" t="s">
        <v>1534</v>
      </c>
      <c r="B45" s="4525">
        <v>3052</v>
      </c>
      <c r="C45" s="4525"/>
      <c r="D45" s="4526">
        <v>1207</v>
      </c>
      <c r="E45" s="4526"/>
      <c r="F45" s="4527">
        <v>606</v>
      </c>
      <c r="G45" s="4527">
        <v>0</v>
      </c>
      <c r="H45" s="4526">
        <v>1228</v>
      </c>
      <c r="I45" s="4526">
        <v>0</v>
      </c>
      <c r="J45" s="4526">
        <v>686</v>
      </c>
      <c r="K45" s="4526">
        <v>0</v>
      </c>
      <c r="L45" s="4526">
        <f t="shared" si="4"/>
        <v>6779</v>
      </c>
      <c r="M45" s="4526">
        <f t="shared" si="4"/>
        <v>0</v>
      </c>
    </row>
    <row r="46" spans="1:13">
      <c r="A46" s="4521" t="s">
        <v>1535</v>
      </c>
      <c r="B46" s="4525">
        <v>4261</v>
      </c>
      <c r="C46" s="4525">
        <v>1636</v>
      </c>
      <c r="D46" s="4526">
        <v>284</v>
      </c>
      <c r="E46" s="4526">
        <v>2562</v>
      </c>
      <c r="F46" s="4527">
        <v>660</v>
      </c>
      <c r="G46" s="4527">
        <v>1395</v>
      </c>
      <c r="H46" s="4526">
        <v>364</v>
      </c>
      <c r="I46" s="4526">
        <v>830</v>
      </c>
      <c r="J46" s="4526">
        <v>2967</v>
      </c>
      <c r="K46" s="4526">
        <v>0</v>
      </c>
      <c r="L46" s="4526">
        <f t="shared" si="4"/>
        <v>8536</v>
      </c>
      <c r="M46" s="4526">
        <f t="shared" si="4"/>
        <v>6423</v>
      </c>
    </row>
    <row r="47" spans="1:13">
      <c r="A47" s="4521" t="s">
        <v>1536</v>
      </c>
      <c r="B47" s="4525">
        <v>3246</v>
      </c>
      <c r="C47" s="4525">
        <v>1194</v>
      </c>
      <c r="D47" s="4526">
        <v>1751</v>
      </c>
      <c r="E47" s="4526">
        <v>7819</v>
      </c>
      <c r="F47" s="4527">
        <v>1541</v>
      </c>
      <c r="G47" s="4527">
        <v>3543</v>
      </c>
      <c r="H47" s="4526">
        <v>472</v>
      </c>
      <c r="I47" s="4526">
        <v>616</v>
      </c>
      <c r="J47" s="4526">
        <v>1887</v>
      </c>
      <c r="K47" s="4526">
        <v>0</v>
      </c>
      <c r="L47" s="4526">
        <f t="shared" si="4"/>
        <v>8897</v>
      </c>
      <c r="M47" s="4526">
        <f t="shared" si="4"/>
        <v>13172</v>
      </c>
    </row>
    <row r="48" spans="1:13">
      <c r="A48" s="4521" t="s">
        <v>1537</v>
      </c>
      <c r="B48" s="4525">
        <v>526</v>
      </c>
      <c r="C48" s="4525"/>
      <c r="D48" s="4526">
        <v>1690</v>
      </c>
      <c r="E48" s="4526"/>
      <c r="F48" s="4527">
        <v>701</v>
      </c>
      <c r="G48" s="4527">
        <v>0</v>
      </c>
      <c r="H48" s="4526">
        <v>70</v>
      </c>
      <c r="I48" s="4526">
        <v>0</v>
      </c>
      <c r="J48" s="4526">
        <v>0</v>
      </c>
      <c r="K48" s="4526">
        <v>0</v>
      </c>
      <c r="L48" s="4526">
        <f t="shared" si="4"/>
        <v>2987</v>
      </c>
      <c r="M48" s="4526">
        <f t="shared" si="4"/>
        <v>0</v>
      </c>
    </row>
    <row r="49" spans="1:13">
      <c r="A49" s="4521" t="s">
        <v>1538</v>
      </c>
      <c r="B49" s="4525">
        <v>1885</v>
      </c>
      <c r="C49" s="4525">
        <v>787</v>
      </c>
      <c r="D49" s="4526">
        <v>20</v>
      </c>
      <c r="E49" s="4526">
        <v>235</v>
      </c>
      <c r="F49" s="4527">
        <v>11</v>
      </c>
      <c r="G49" s="4527">
        <v>62</v>
      </c>
      <c r="H49" s="4526">
        <v>31</v>
      </c>
      <c r="I49" s="4526">
        <v>269</v>
      </c>
      <c r="J49" s="4526">
        <v>244</v>
      </c>
      <c r="K49" s="4526">
        <v>0</v>
      </c>
      <c r="L49" s="4526">
        <f t="shared" si="4"/>
        <v>2191</v>
      </c>
      <c r="M49" s="4526">
        <f t="shared" si="4"/>
        <v>1353</v>
      </c>
    </row>
    <row r="50" spans="1:13">
      <c r="A50" s="4521" t="s">
        <v>1539</v>
      </c>
      <c r="B50" s="4525">
        <v>335</v>
      </c>
      <c r="C50" s="4525"/>
      <c r="D50" s="4526">
        <v>0</v>
      </c>
      <c r="E50" s="4526">
        <v>9</v>
      </c>
      <c r="F50" s="4527">
        <v>8</v>
      </c>
      <c r="G50" s="4527">
        <v>0</v>
      </c>
      <c r="H50" s="4526">
        <v>30</v>
      </c>
      <c r="I50" s="4526">
        <v>0</v>
      </c>
      <c r="J50" s="4526">
        <v>0</v>
      </c>
      <c r="K50" s="4526">
        <v>0</v>
      </c>
      <c r="L50" s="4526">
        <f t="shared" si="4"/>
        <v>373</v>
      </c>
      <c r="M50" s="4526">
        <f t="shared" si="4"/>
        <v>9</v>
      </c>
    </row>
    <row r="51" spans="1:13">
      <c r="A51" s="4521" t="s">
        <v>1540</v>
      </c>
      <c r="B51" s="4525">
        <v>221</v>
      </c>
      <c r="C51" s="4525">
        <v>250</v>
      </c>
      <c r="D51" s="4526">
        <v>2</v>
      </c>
      <c r="E51" s="4526">
        <v>22</v>
      </c>
      <c r="F51" s="4527">
        <v>0</v>
      </c>
      <c r="G51" s="4527">
        <v>16</v>
      </c>
      <c r="H51" s="4526">
        <v>0</v>
      </c>
      <c r="I51" s="4526">
        <v>11</v>
      </c>
      <c r="J51" s="4526">
        <v>0</v>
      </c>
      <c r="K51" s="4526">
        <v>0</v>
      </c>
      <c r="L51" s="4526">
        <f t="shared" si="4"/>
        <v>223</v>
      </c>
      <c r="M51" s="4526">
        <f t="shared" si="4"/>
        <v>299</v>
      </c>
    </row>
    <row r="52" spans="1:13">
      <c r="A52" s="4521" t="s">
        <v>1541</v>
      </c>
      <c r="B52" s="4525">
        <v>36</v>
      </c>
      <c r="C52" s="4525">
        <v>40</v>
      </c>
      <c r="D52" s="4526">
        <v>10</v>
      </c>
      <c r="E52" s="4526">
        <v>40</v>
      </c>
      <c r="F52" s="4527">
        <v>3</v>
      </c>
      <c r="G52" s="4527">
        <v>27</v>
      </c>
      <c r="H52" s="4526">
        <v>0</v>
      </c>
      <c r="I52" s="4526">
        <v>7</v>
      </c>
      <c r="J52" s="4526">
        <v>0</v>
      </c>
      <c r="K52" s="4526">
        <v>0</v>
      </c>
      <c r="L52" s="4526">
        <f t="shared" si="4"/>
        <v>49</v>
      </c>
      <c r="M52" s="4526">
        <f t="shared" si="4"/>
        <v>114</v>
      </c>
    </row>
    <row r="53" spans="1:13">
      <c r="A53" s="4521" t="s">
        <v>1542</v>
      </c>
      <c r="B53" s="4525">
        <v>21</v>
      </c>
      <c r="C53" s="4525"/>
      <c r="D53" s="4526">
        <v>0</v>
      </c>
      <c r="E53" s="4526">
        <v>7</v>
      </c>
      <c r="F53" s="4527">
        <v>15</v>
      </c>
      <c r="G53" s="4527">
        <v>5</v>
      </c>
      <c r="H53" s="4526">
        <v>2</v>
      </c>
      <c r="I53" s="4526">
        <v>0</v>
      </c>
      <c r="J53" s="4526">
        <v>0</v>
      </c>
      <c r="K53" s="4526">
        <v>0</v>
      </c>
      <c r="L53" s="4526">
        <f t="shared" si="4"/>
        <v>38</v>
      </c>
      <c r="M53" s="4526">
        <f t="shared" si="4"/>
        <v>12</v>
      </c>
    </row>
    <row r="54" spans="1:13">
      <c r="A54" s="4521" t="s">
        <v>1543</v>
      </c>
      <c r="B54" s="4525">
        <v>168</v>
      </c>
      <c r="C54" s="4525"/>
      <c r="D54" s="4526">
        <v>395</v>
      </c>
      <c r="E54" s="4526">
        <v>0</v>
      </c>
      <c r="F54" s="4527">
        <v>235</v>
      </c>
      <c r="G54" s="4527">
        <v>0</v>
      </c>
      <c r="H54" s="4526">
        <v>109</v>
      </c>
      <c r="I54" s="4526">
        <v>0</v>
      </c>
      <c r="J54" s="4526">
        <v>18</v>
      </c>
      <c r="K54" s="4526">
        <v>0</v>
      </c>
      <c r="L54" s="4526">
        <f t="shared" si="4"/>
        <v>925</v>
      </c>
      <c r="M54" s="4526">
        <f t="shared" si="4"/>
        <v>0</v>
      </c>
    </row>
    <row r="55" spans="1:13">
      <c r="A55" s="4521" t="s">
        <v>1544</v>
      </c>
      <c r="B55" s="4525">
        <v>1</v>
      </c>
      <c r="C55" s="4525">
        <v>34</v>
      </c>
      <c r="D55" s="4526">
        <v>2</v>
      </c>
      <c r="E55" s="4526">
        <v>0</v>
      </c>
      <c r="F55" s="4527">
        <v>0</v>
      </c>
      <c r="G55" s="4527">
        <v>0</v>
      </c>
      <c r="H55" s="4526">
        <v>0</v>
      </c>
      <c r="I55" s="4526">
        <v>108</v>
      </c>
      <c r="J55" s="4526">
        <v>365</v>
      </c>
      <c r="K55" s="4526">
        <v>0</v>
      </c>
      <c r="L55" s="4526">
        <f t="shared" si="4"/>
        <v>368</v>
      </c>
      <c r="M55" s="4526">
        <f t="shared" si="4"/>
        <v>142</v>
      </c>
    </row>
    <row r="56" spans="1:13">
      <c r="A56" s="4521" t="s">
        <v>1545</v>
      </c>
      <c r="B56" s="4525">
        <v>25</v>
      </c>
      <c r="C56" s="4525">
        <v>2</v>
      </c>
      <c r="D56" s="4526">
        <v>2</v>
      </c>
      <c r="E56" s="4526">
        <v>0</v>
      </c>
      <c r="F56" s="4527">
        <v>2</v>
      </c>
      <c r="G56" s="4527">
        <v>3</v>
      </c>
      <c r="H56" s="4527">
        <v>0</v>
      </c>
      <c r="I56" s="4527">
        <v>140</v>
      </c>
      <c r="J56" s="4526">
        <v>28995</v>
      </c>
      <c r="K56" s="4526">
        <v>0</v>
      </c>
      <c r="L56" s="4526">
        <f t="shared" si="4"/>
        <v>29024</v>
      </c>
      <c r="M56" s="4526">
        <f t="shared" si="4"/>
        <v>145</v>
      </c>
    </row>
    <row r="57" spans="1:13">
      <c r="A57" s="4521" t="s">
        <v>1555</v>
      </c>
      <c r="B57" s="4525">
        <v>2</v>
      </c>
      <c r="C57" s="4525">
        <v>14</v>
      </c>
      <c r="D57" s="4526">
        <v>0</v>
      </c>
      <c r="E57" s="4526">
        <v>0</v>
      </c>
      <c r="F57" s="4527">
        <v>3</v>
      </c>
      <c r="G57" s="4527">
        <v>14</v>
      </c>
      <c r="H57" s="4527">
        <v>2</v>
      </c>
      <c r="I57" s="4527">
        <v>2</v>
      </c>
      <c r="J57" s="4526">
        <v>75</v>
      </c>
      <c r="K57" s="4526">
        <v>0</v>
      </c>
      <c r="L57" s="4526">
        <f t="shared" si="4"/>
        <v>82</v>
      </c>
      <c r="M57" s="4526">
        <f t="shared" si="4"/>
        <v>30</v>
      </c>
    </row>
    <row r="58" spans="1:13">
      <c r="A58" s="4521" t="s">
        <v>1546</v>
      </c>
      <c r="B58" s="4525">
        <v>5</v>
      </c>
      <c r="C58" s="4525">
        <v>7</v>
      </c>
      <c r="D58" s="4526">
        <v>48</v>
      </c>
      <c r="E58" s="4526">
        <v>0</v>
      </c>
      <c r="F58" s="4527">
        <v>2</v>
      </c>
      <c r="G58" s="4527">
        <v>21</v>
      </c>
      <c r="H58" s="4527">
        <v>23</v>
      </c>
      <c r="I58" s="4527">
        <v>0</v>
      </c>
      <c r="J58" s="4526">
        <v>20</v>
      </c>
      <c r="K58" s="4526">
        <v>0</v>
      </c>
      <c r="L58" s="4526">
        <f t="shared" si="4"/>
        <v>98</v>
      </c>
      <c r="M58" s="4526">
        <f t="shared" si="4"/>
        <v>28</v>
      </c>
    </row>
    <row r="59" spans="1:13">
      <c r="A59" s="4521" t="s">
        <v>1547</v>
      </c>
      <c r="B59" s="4525">
        <v>0</v>
      </c>
      <c r="C59" s="4525">
        <v>0</v>
      </c>
      <c r="D59" s="4526">
        <v>4</v>
      </c>
      <c r="E59" s="4526">
        <v>0</v>
      </c>
      <c r="F59" s="4527">
        <v>15</v>
      </c>
      <c r="G59" s="4527">
        <v>0</v>
      </c>
      <c r="H59" s="4527">
        <v>0</v>
      </c>
      <c r="I59" s="4527">
        <v>0</v>
      </c>
      <c r="J59" s="4526">
        <v>722</v>
      </c>
      <c r="K59" s="4526">
        <v>0</v>
      </c>
      <c r="L59" s="4526">
        <f t="shared" si="4"/>
        <v>741</v>
      </c>
      <c r="M59" s="4526">
        <f t="shared" si="4"/>
        <v>0</v>
      </c>
    </row>
    <row r="60" spans="1:13" s="4500" customFormat="1" ht="100.8">
      <c r="A60" s="4501" t="s">
        <v>1895</v>
      </c>
      <c r="B60" s="4525">
        <v>0</v>
      </c>
      <c r="C60" s="4525">
        <v>0</v>
      </c>
      <c r="D60" s="4526">
        <v>0</v>
      </c>
      <c r="E60" s="4526">
        <v>0</v>
      </c>
      <c r="F60" s="4527">
        <v>0</v>
      </c>
      <c r="G60" s="4527">
        <v>0</v>
      </c>
      <c r="H60" s="4527">
        <v>4579</v>
      </c>
      <c r="I60" s="4527">
        <v>0</v>
      </c>
      <c r="J60" s="4526">
        <v>0</v>
      </c>
      <c r="K60" s="4526">
        <v>0</v>
      </c>
      <c r="L60" s="4526">
        <f t="shared" si="4"/>
        <v>4579</v>
      </c>
      <c r="M60" s="4526">
        <f t="shared" si="4"/>
        <v>0</v>
      </c>
    </row>
    <row r="61" spans="1:13" s="4500" customFormat="1">
      <c r="A61" s="4501" t="s">
        <v>1547</v>
      </c>
      <c r="B61" s="4525">
        <v>0</v>
      </c>
      <c r="C61" s="4525">
        <v>0</v>
      </c>
      <c r="D61" s="4526">
        <v>0</v>
      </c>
      <c r="E61" s="4526">
        <v>0</v>
      </c>
      <c r="F61" s="4527">
        <v>0</v>
      </c>
      <c r="G61" s="4527">
        <v>0</v>
      </c>
      <c r="H61" s="4527">
        <v>0</v>
      </c>
      <c r="I61" s="4527">
        <v>0</v>
      </c>
      <c r="J61" s="4526">
        <v>0</v>
      </c>
      <c r="K61" s="4526"/>
      <c r="L61" s="4526">
        <f t="shared" si="4"/>
        <v>0</v>
      </c>
      <c r="M61" s="4526">
        <f t="shared" si="4"/>
        <v>0</v>
      </c>
    </row>
    <row r="62" spans="1:13" s="4500" customFormat="1">
      <c r="A62" s="4522" t="s">
        <v>1548</v>
      </c>
      <c r="B62" s="4525">
        <v>26199</v>
      </c>
      <c r="C62" s="4525">
        <v>7</v>
      </c>
      <c r="D62" s="4526">
        <v>0</v>
      </c>
      <c r="E62" s="4526">
        <v>0</v>
      </c>
      <c r="F62" s="4527">
        <v>0</v>
      </c>
      <c r="G62" s="4527">
        <v>0</v>
      </c>
      <c r="H62" s="4527">
        <v>0</v>
      </c>
      <c r="I62" s="4527">
        <v>0</v>
      </c>
      <c r="J62" s="4526">
        <v>0</v>
      </c>
      <c r="K62" s="4526">
        <v>0</v>
      </c>
      <c r="L62" s="4526">
        <f t="shared" si="4"/>
        <v>26199</v>
      </c>
      <c r="M62" s="4526">
        <f t="shared" si="4"/>
        <v>7</v>
      </c>
    </row>
    <row r="63" spans="1:13" s="4500" customFormat="1" ht="28.8">
      <c r="A63" s="4522" t="s">
        <v>1887</v>
      </c>
      <c r="B63" s="4525">
        <v>0</v>
      </c>
      <c r="C63" s="4525">
        <v>0</v>
      </c>
      <c r="D63" s="4526">
        <v>0</v>
      </c>
      <c r="E63" s="4526">
        <v>0</v>
      </c>
      <c r="F63" s="4527">
        <v>0</v>
      </c>
      <c r="G63" s="4527">
        <v>0</v>
      </c>
      <c r="H63" s="4526">
        <v>2785</v>
      </c>
      <c r="I63" s="4526">
        <v>0</v>
      </c>
      <c r="J63" s="4526">
        <v>0</v>
      </c>
      <c r="K63" s="4526">
        <v>0</v>
      </c>
      <c r="L63" s="4526">
        <f t="shared" si="4"/>
        <v>2785</v>
      </c>
      <c r="M63" s="4526">
        <f t="shared" si="4"/>
        <v>0</v>
      </c>
    </row>
    <row r="64" spans="1:13" s="4500" customFormat="1">
      <c r="A64" s="4522" t="s">
        <v>1549</v>
      </c>
      <c r="B64" s="4526">
        <v>0</v>
      </c>
      <c r="C64" s="4526">
        <v>0</v>
      </c>
      <c r="D64" s="4526">
        <v>0</v>
      </c>
      <c r="E64" s="4526">
        <v>0</v>
      </c>
      <c r="F64" s="4527">
        <v>0</v>
      </c>
      <c r="G64" s="4527">
        <v>0</v>
      </c>
      <c r="H64" s="4526">
        <v>0</v>
      </c>
      <c r="I64" s="4526">
        <v>0</v>
      </c>
      <c r="J64" s="4526">
        <v>0</v>
      </c>
      <c r="K64" s="4526">
        <v>0</v>
      </c>
      <c r="L64" s="4526">
        <f t="shared" si="4"/>
        <v>0</v>
      </c>
      <c r="M64" s="4526">
        <f t="shared" si="4"/>
        <v>0</v>
      </c>
    </row>
    <row r="65" spans="1:13" s="4500" customFormat="1">
      <c r="A65" s="4522" t="s">
        <v>1888</v>
      </c>
      <c r="B65" s="4526"/>
      <c r="C65" s="4526"/>
      <c r="D65" s="4526"/>
      <c r="E65" s="4526"/>
      <c r="F65" s="4527">
        <v>0</v>
      </c>
      <c r="G65" s="4527">
        <v>32</v>
      </c>
      <c r="H65" s="4526"/>
      <c r="I65" s="4526"/>
      <c r="J65" s="4526"/>
      <c r="K65" s="4526"/>
      <c r="L65" s="4526"/>
      <c r="M65" s="4526"/>
    </row>
    <row r="66" spans="1:13" s="4500" customFormat="1">
      <c r="A66" s="4522" t="s">
        <v>1889</v>
      </c>
      <c r="B66" s="4526"/>
      <c r="C66" s="4526"/>
      <c r="D66" s="4526"/>
      <c r="E66" s="4526"/>
      <c r="F66" s="4527">
        <v>0</v>
      </c>
      <c r="G66" s="4527">
        <v>54</v>
      </c>
      <c r="H66" s="4526"/>
      <c r="I66" s="4526"/>
      <c r="J66" s="4526"/>
      <c r="K66" s="4526"/>
      <c r="L66" s="4526"/>
      <c r="M66" s="4526"/>
    </row>
    <row r="67" spans="1:13" s="4500" customFormat="1">
      <c r="A67" s="4523" t="s">
        <v>1890</v>
      </c>
      <c r="B67" s="4526">
        <v>0</v>
      </c>
      <c r="C67" s="4526">
        <v>0</v>
      </c>
      <c r="D67" s="4526">
        <v>0</v>
      </c>
      <c r="E67" s="4526">
        <v>1210</v>
      </c>
      <c r="F67" s="4527">
        <v>0</v>
      </c>
      <c r="G67" s="4527">
        <v>0</v>
      </c>
      <c r="H67" s="4526">
        <v>0</v>
      </c>
      <c r="I67" s="4526">
        <v>0</v>
      </c>
      <c r="J67" s="4526">
        <v>0</v>
      </c>
      <c r="K67" s="4526">
        <v>0</v>
      </c>
      <c r="L67" s="4526">
        <f t="shared" ref="L67:M71" si="5">B67+D67+F67+H67+J67</f>
        <v>0</v>
      </c>
      <c r="M67" s="4526">
        <f t="shared" si="5"/>
        <v>1210</v>
      </c>
    </row>
    <row r="68" spans="1:13" s="4500" customFormat="1">
      <c r="A68" s="4523" t="s">
        <v>1891</v>
      </c>
      <c r="B68" s="4526">
        <v>0</v>
      </c>
      <c r="C68" s="4526">
        <v>0</v>
      </c>
      <c r="D68" s="4526">
        <v>2580</v>
      </c>
      <c r="E68" s="4526">
        <v>0</v>
      </c>
      <c r="F68" s="4527">
        <v>0</v>
      </c>
      <c r="G68" s="4527">
        <v>0</v>
      </c>
      <c r="H68" s="4526">
        <v>0</v>
      </c>
      <c r="I68" s="4526">
        <v>0</v>
      </c>
      <c r="J68" s="4526">
        <v>0</v>
      </c>
      <c r="K68" s="4526">
        <v>0</v>
      </c>
      <c r="L68" s="4526">
        <f t="shared" si="5"/>
        <v>2580</v>
      </c>
      <c r="M68" s="4526">
        <f t="shared" si="5"/>
        <v>0</v>
      </c>
    </row>
    <row r="69" spans="1:13" ht="28.8">
      <c r="A69" s="4523" t="s">
        <v>1892</v>
      </c>
      <c r="B69" s="4526">
        <v>0</v>
      </c>
      <c r="C69" s="4526">
        <v>0</v>
      </c>
      <c r="D69" s="4526">
        <v>2883</v>
      </c>
      <c r="E69" s="4526">
        <v>0</v>
      </c>
      <c r="F69" s="4527">
        <v>0</v>
      </c>
      <c r="G69" s="4527">
        <v>0</v>
      </c>
      <c r="H69" s="4526">
        <v>0</v>
      </c>
      <c r="I69" s="4526">
        <v>0</v>
      </c>
      <c r="J69" s="4526">
        <v>0</v>
      </c>
      <c r="K69" s="4526">
        <v>0</v>
      </c>
      <c r="L69" s="4526">
        <f t="shared" si="5"/>
        <v>2883</v>
      </c>
      <c r="M69" s="4526">
        <f t="shared" si="5"/>
        <v>0</v>
      </c>
    </row>
    <row r="70" spans="1:13" ht="28.8">
      <c r="A70" s="4523" t="s">
        <v>1893</v>
      </c>
      <c r="B70" s="4526">
        <v>0</v>
      </c>
      <c r="C70" s="4526">
        <v>0</v>
      </c>
      <c r="D70" s="4526">
        <v>26050</v>
      </c>
      <c r="E70" s="4526">
        <v>0</v>
      </c>
      <c r="F70" s="4527">
        <v>0</v>
      </c>
      <c r="G70" s="4527">
        <v>0</v>
      </c>
      <c r="H70" s="4526">
        <v>0</v>
      </c>
      <c r="I70" s="4526">
        <v>0</v>
      </c>
      <c r="J70" s="4526">
        <v>0</v>
      </c>
      <c r="K70" s="4526">
        <v>0</v>
      </c>
      <c r="L70" s="4526">
        <f t="shared" si="5"/>
        <v>26050</v>
      </c>
      <c r="M70" s="4526">
        <f t="shared" si="5"/>
        <v>0</v>
      </c>
    </row>
    <row r="71" spans="1:13">
      <c r="A71" s="4523" t="s">
        <v>1894</v>
      </c>
      <c r="B71" s="4526">
        <v>0</v>
      </c>
      <c r="C71" s="4526">
        <v>0</v>
      </c>
      <c r="D71" s="4526">
        <v>4295</v>
      </c>
      <c r="E71" s="4526">
        <v>0</v>
      </c>
      <c r="F71" s="4527">
        <v>0</v>
      </c>
      <c r="G71" s="4527">
        <v>0</v>
      </c>
      <c r="H71" s="4526">
        <v>0</v>
      </c>
      <c r="I71" s="4526">
        <v>0</v>
      </c>
      <c r="J71" s="4526">
        <v>0</v>
      </c>
      <c r="K71" s="4526">
        <v>0</v>
      </c>
      <c r="L71" s="4526">
        <f t="shared" si="5"/>
        <v>4295</v>
      </c>
      <c r="M71" s="4526">
        <f t="shared" si="5"/>
        <v>0</v>
      </c>
    </row>
    <row r="72" spans="1:13" ht="14.25" customHeight="1">
      <c r="A72" s="4502" t="s">
        <v>1550</v>
      </c>
      <c r="B72" s="4528">
        <f t="shared" ref="B72:M72" si="6">SUM(B44:B71)</f>
        <v>47535</v>
      </c>
      <c r="C72" s="4528">
        <f t="shared" si="6"/>
        <v>8410</v>
      </c>
      <c r="D72" s="4528">
        <f t="shared" si="6"/>
        <v>42678</v>
      </c>
      <c r="E72" s="4528">
        <f t="shared" si="6"/>
        <v>27839</v>
      </c>
      <c r="F72" s="4528">
        <f t="shared" si="6"/>
        <v>5651</v>
      </c>
      <c r="G72" s="4528">
        <f t="shared" si="6"/>
        <v>9987</v>
      </c>
      <c r="H72" s="4528">
        <f t="shared" si="6"/>
        <v>10935</v>
      </c>
      <c r="I72" s="4528">
        <f t="shared" si="6"/>
        <v>5613</v>
      </c>
      <c r="J72" s="4528">
        <f t="shared" si="6"/>
        <v>60401</v>
      </c>
      <c r="K72" s="4528">
        <f t="shared" si="6"/>
        <v>0</v>
      </c>
      <c r="L72" s="4528">
        <f t="shared" si="6"/>
        <v>167200</v>
      </c>
      <c r="M72" s="4528">
        <f t="shared" si="6"/>
        <v>51763</v>
      </c>
    </row>
    <row r="73" spans="1:13" ht="14.25" customHeight="1">
      <c r="A73" s="4503" t="s">
        <v>1551</v>
      </c>
      <c r="B73" s="4529">
        <f>SUM(B72+C72)</f>
        <v>55945</v>
      </c>
      <c r="C73" s="4529"/>
      <c r="D73" s="4529">
        <f>SUM(D72+E72)</f>
        <v>70517</v>
      </c>
      <c r="E73" s="4529"/>
      <c r="F73" s="4529">
        <f>SUM(F72+G72)</f>
        <v>15638</v>
      </c>
      <c r="G73" s="4529"/>
      <c r="H73" s="4530">
        <f>SUM(H72:I72)</f>
        <v>16548</v>
      </c>
      <c r="I73" s="4531"/>
      <c r="J73" s="4529">
        <f>SUM(J72+K72)</f>
        <v>60401</v>
      </c>
      <c r="K73" s="4529"/>
      <c r="L73" s="4532">
        <f>SUM(L72:M72)</f>
        <v>218963</v>
      </c>
      <c r="M73" s="4532"/>
    </row>
    <row r="74" spans="1:13" ht="14.25" customHeight="1">
      <c r="A74" s="3803"/>
    </row>
    <row r="75" spans="1:13" ht="14.25" customHeight="1">
      <c r="A75" s="3803"/>
    </row>
    <row r="79" spans="1:13" ht="15.6">
      <c r="A79" s="219" t="s">
        <v>1523</v>
      </c>
    </row>
    <row r="80" spans="1:13">
      <c r="A80" t="s">
        <v>1524</v>
      </c>
    </row>
    <row r="82" spans="1:13" ht="14.25" customHeight="1" thickBot="1">
      <c r="A82" s="3588" t="s">
        <v>1518</v>
      </c>
    </row>
    <row r="83" spans="1:13" ht="27.75" customHeight="1" thickBot="1">
      <c r="A83" s="5533" t="s">
        <v>1525</v>
      </c>
      <c r="B83" s="4542" t="s">
        <v>1526</v>
      </c>
      <c r="C83" s="4542"/>
      <c r="D83" s="4543" t="s">
        <v>1527</v>
      </c>
      <c r="E83" s="4543"/>
      <c r="F83" s="4544" t="s">
        <v>1528</v>
      </c>
      <c r="G83" s="4544"/>
      <c r="H83" s="4545" t="s">
        <v>1529</v>
      </c>
      <c r="I83" s="4545"/>
      <c r="J83" s="4546" t="s">
        <v>1623</v>
      </c>
      <c r="K83" s="4547"/>
      <c r="L83" s="4548" t="s">
        <v>1514</v>
      </c>
      <c r="M83" s="4549"/>
    </row>
    <row r="84" spans="1:13" ht="15" thickBot="1">
      <c r="A84" s="5534"/>
      <c r="B84" s="4550" t="s">
        <v>1532</v>
      </c>
      <c r="C84" s="4551" t="s">
        <v>1531</v>
      </c>
      <c r="D84" s="4552" t="s">
        <v>1532</v>
      </c>
      <c r="E84" s="4553" t="s">
        <v>1531</v>
      </c>
      <c r="F84" s="4554" t="s">
        <v>1530</v>
      </c>
      <c r="G84" s="4555" t="s">
        <v>1554</v>
      </c>
      <c r="H84" s="4556" t="s">
        <v>1530</v>
      </c>
      <c r="I84" s="4557" t="s">
        <v>1531</v>
      </c>
      <c r="J84" s="4558" t="s">
        <v>1532</v>
      </c>
      <c r="K84" s="4559" t="s">
        <v>1531</v>
      </c>
      <c r="L84" s="4560" t="s">
        <v>1532</v>
      </c>
      <c r="M84" s="4561" t="s">
        <v>1531</v>
      </c>
    </row>
    <row r="85" spans="1:13">
      <c r="A85" s="3589" t="s">
        <v>1533</v>
      </c>
      <c r="B85" s="4562">
        <f>13459+2208+821+842+229+5</f>
        <v>17564</v>
      </c>
      <c r="C85" s="4563">
        <f>299+1119+180+119+2+122+2</f>
        <v>1843</v>
      </c>
      <c r="D85" s="4564">
        <f>24714+227+145+454+97+12</f>
        <v>25649</v>
      </c>
      <c r="E85" s="4564">
        <f>980+4053+850+44+50+201+9+168+34</f>
        <v>6389</v>
      </c>
      <c r="F85" s="4565">
        <f>7214+253+45+200+40+25</f>
        <v>7777</v>
      </c>
      <c r="G85" s="4566">
        <f>376+1309+298+104+50</f>
        <v>2137</v>
      </c>
      <c r="H85" s="4567">
        <f>10694+47+650+176+7</f>
        <v>11574</v>
      </c>
      <c r="I85" s="4566">
        <f>215+864+145+158+156</f>
        <v>1538</v>
      </c>
      <c r="J85" s="4567"/>
      <c r="K85" s="4567"/>
      <c r="L85" s="4567">
        <f t="shared" ref="L85:L101" si="7">+B85+D85+F85+H85</f>
        <v>62564</v>
      </c>
      <c r="M85" s="4568">
        <f t="shared" ref="M85:M101" si="8">+C85+E85+G85+I85</f>
        <v>11907</v>
      </c>
    </row>
    <row r="86" spans="1:13">
      <c r="A86" s="3590" t="s">
        <v>1534</v>
      </c>
      <c r="B86" s="4569">
        <f>645+571+194+46+18+8</f>
        <v>1482</v>
      </c>
      <c r="C86" s="4570">
        <v>1</v>
      </c>
      <c r="D86" s="4571">
        <f>2192+370+89+16+28+17</f>
        <v>2712</v>
      </c>
      <c r="E86" s="4571">
        <v>0</v>
      </c>
      <c r="F86" s="4572">
        <f>725+116+39+28+25+15</f>
        <v>948</v>
      </c>
      <c r="G86" s="4573">
        <v>0</v>
      </c>
      <c r="H86" s="4574">
        <f>1194+264+42+35+39+11</f>
        <v>1585</v>
      </c>
      <c r="I86" s="4573">
        <v>0</v>
      </c>
      <c r="J86" s="4574"/>
      <c r="K86" s="4574"/>
      <c r="L86" s="4574">
        <f t="shared" si="7"/>
        <v>6727</v>
      </c>
      <c r="M86" s="4575">
        <f t="shared" si="8"/>
        <v>1</v>
      </c>
    </row>
    <row r="87" spans="1:13">
      <c r="A87" s="3590" t="s">
        <v>1535</v>
      </c>
      <c r="B87" s="4569">
        <f>5675+693+322+194+40+3</f>
        <v>6927</v>
      </c>
      <c r="C87" s="4570">
        <f>467+1058+233+55+61</f>
        <v>1874</v>
      </c>
      <c r="D87" s="4571">
        <f>8200+113+20+76+19+17+11</f>
        <v>8456</v>
      </c>
      <c r="E87" s="4571">
        <f>347+1234+423+67+17+75</f>
        <v>2163</v>
      </c>
      <c r="F87" s="4572">
        <f>3874+19+65+29</f>
        <v>3987</v>
      </c>
      <c r="G87" s="4573">
        <f>215+503+134+32+15</f>
        <v>899</v>
      </c>
      <c r="H87" s="4574">
        <f>2725+13+15</f>
        <v>2753</v>
      </c>
      <c r="I87" s="4573">
        <f>47+485+97+26+8</f>
        <v>663</v>
      </c>
      <c r="J87" s="4574"/>
      <c r="K87" s="4574"/>
      <c r="L87" s="4574">
        <f t="shared" si="7"/>
        <v>22123</v>
      </c>
      <c r="M87" s="4575">
        <f t="shared" si="8"/>
        <v>5599</v>
      </c>
    </row>
    <row r="88" spans="1:13">
      <c r="A88" s="3590" t="s">
        <v>1536</v>
      </c>
      <c r="B88" s="4569">
        <f>3010+446+129+146+31+3+3</f>
        <v>3768</v>
      </c>
      <c r="C88" s="4570">
        <f>480+850+87+25+24</f>
        <v>1466</v>
      </c>
      <c r="D88" s="4571">
        <f>13333+495+25+46+182+50+55+40</f>
        <v>14226</v>
      </c>
      <c r="E88" s="4571">
        <f>961+2882+1183+105+13+86</f>
        <v>5230</v>
      </c>
      <c r="F88" s="4572">
        <f>7033+319+14+198+85+37</f>
        <v>7686</v>
      </c>
      <c r="G88" s="4573">
        <f>1285+2577+695+69+33</f>
        <v>4659</v>
      </c>
      <c r="H88" s="4574">
        <f>1613+2+60+12+12</f>
        <v>1699</v>
      </c>
      <c r="I88" s="4573">
        <f>155+160+15+43+19</f>
        <v>392</v>
      </c>
      <c r="J88" s="4574"/>
      <c r="K88" s="4574"/>
      <c r="L88" s="4574">
        <f t="shared" si="7"/>
        <v>27379</v>
      </c>
      <c r="M88" s="4575">
        <f t="shared" si="8"/>
        <v>11747</v>
      </c>
    </row>
    <row r="89" spans="1:13">
      <c r="A89" s="3590" t="s">
        <v>1537</v>
      </c>
      <c r="B89" s="4569">
        <f>226+68+10+3+10</f>
        <v>317</v>
      </c>
      <c r="C89" s="4570">
        <v>0</v>
      </c>
      <c r="D89" s="4571">
        <f>1374+496+79+16+41+28</f>
        <v>2034</v>
      </c>
      <c r="E89" s="4571">
        <v>0</v>
      </c>
      <c r="F89" s="4572">
        <f>1840+54+6+32+17</f>
        <v>1949</v>
      </c>
      <c r="G89" s="4573">
        <v>0</v>
      </c>
      <c r="H89" s="4574">
        <v>0</v>
      </c>
      <c r="I89" s="4573">
        <v>0</v>
      </c>
      <c r="J89" s="4574"/>
      <c r="K89" s="4574"/>
      <c r="L89" s="4574">
        <f t="shared" si="7"/>
        <v>4300</v>
      </c>
      <c r="M89" s="4575">
        <f t="shared" si="8"/>
        <v>0</v>
      </c>
    </row>
    <row r="90" spans="1:13">
      <c r="A90" s="3590" t="s">
        <v>1538</v>
      </c>
      <c r="B90" s="4569">
        <f>714+898+523+44+22+11</f>
        <v>2212</v>
      </c>
      <c r="C90" s="4570">
        <f>128+384+154+29+31</f>
        <v>726</v>
      </c>
      <c r="D90" s="4571">
        <f>13+28+2+33</f>
        <v>76</v>
      </c>
      <c r="E90" s="4571">
        <f>41+162+37+6+10</f>
        <v>256</v>
      </c>
      <c r="F90" s="4572">
        <f>5+1</f>
        <v>6</v>
      </c>
      <c r="G90" s="4573">
        <f>7+15+11</f>
        <v>33</v>
      </c>
      <c r="H90" s="4574">
        <f>179+12</f>
        <v>191</v>
      </c>
      <c r="I90" s="4573">
        <f>30+113+25+5+12</f>
        <v>185</v>
      </c>
      <c r="J90" s="4574"/>
      <c r="K90" s="4574"/>
      <c r="L90" s="4574">
        <f t="shared" si="7"/>
        <v>2485</v>
      </c>
      <c r="M90" s="4575">
        <f t="shared" si="8"/>
        <v>1200</v>
      </c>
    </row>
    <row r="91" spans="1:13">
      <c r="A91" s="3590" t="s">
        <v>1539</v>
      </c>
      <c r="B91" s="4569">
        <f>105+226+122+1+7</f>
        <v>461</v>
      </c>
      <c r="C91" s="4570">
        <v>0</v>
      </c>
      <c r="D91" s="4571">
        <f>9+1</f>
        <v>10</v>
      </c>
      <c r="E91" s="4571">
        <v>0</v>
      </c>
      <c r="F91" s="4572">
        <f>1+2</f>
        <v>3</v>
      </c>
      <c r="G91" s="4573">
        <v>0</v>
      </c>
      <c r="H91" s="4574">
        <f>37+43+4</f>
        <v>84</v>
      </c>
      <c r="I91" s="4573">
        <v>0</v>
      </c>
      <c r="J91" s="4574"/>
      <c r="K91" s="4574"/>
      <c r="L91" s="4574">
        <f t="shared" si="7"/>
        <v>558</v>
      </c>
      <c r="M91" s="4575">
        <f t="shared" si="8"/>
        <v>0</v>
      </c>
    </row>
    <row r="92" spans="1:13">
      <c r="A92" s="3590" t="s">
        <v>1540</v>
      </c>
      <c r="B92" s="4569">
        <f>83+20+8+1</f>
        <v>112</v>
      </c>
      <c r="C92" s="4570">
        <f>16+71+15+4+6</f>
        <v>112</v>
      </c>
      <c r="D92" s="4571"/>
      <c r="E92" s="4571">
        <f>9+22+2+5</f>
        <v>38</v>
      </c>
      <c r="F92" s="4572"/>
      <c r="G92" s="4573">
        <v>4</v>
      </c>
      <c r="H92" s="4574">
        <v>0</v>
      </c>
      <c r="I92" s="4573">
        <v>1</v>
      </c>
      <c r="J92" s="4574"/>
      <c r="K92" s="4574"/>
      <c r="L92" s="4574">
        <f t="shared" si="7"/>
        <v>112</v>
      </c>
      <c r="M92" s="4575">
        <f t="shared" si="8"/>
        <v>155</v>
      </c>
    </row>
    <row r="93" spans="1:13">
      <c r="A93" s="3590" t="s">
        <v>1541</v>
      </c>
      <c r="B93" s="4576">
        <f>10+11+9+1+1</f>
        <v>32</v>
      </c>
      <c r="C93" s="4577">
        <f>7+8+3</f>
        <v>18</v>
      </c>
      <c r="D93" s="4573"/>
      <c r="E93" s="4573">
        <f>2+3+2</f>
        <v>7</v>
      </c>
      <c r="F93" s="4572"/>
      <c r="G93" s="4573">
        <f>8+7+6</f>
        <v>21</v>
      </c>
      <c r="H93" s="4574">
        <v>2</v>
      </c>
      <c r="I93" s="4573">
        <v>0</v>
      </c>
      <c r="J93" s="4574"/>
      <c r="K93" s="4574"/>
      <c r="L93" s="4574">
        <f t="shared" si="7"/>
        <v>34</v>
      </c>
      <c r="M93" s="4575">
        <f t="shared" si="8"/>
        <v>46</v>
      </c>
    </row>
    <row r="94" spans="1:13">
      <c r="A94" s="3590" t="s">
        <v>1542</v>
      </c>
      <c r="B94" s="4576">
        <f>4+24</f>
        <v>28</v>
      </c>
      <c r="C94" s="4577"/>
      <c r="D94" s="4573">
        <f>3+3+1</f>
        <v>7</v>
      </c>
      <c r="E94" s="4573">
        <v>18</v>
      </c>
      <c r="F94" s="4572">
        <f>1+2</f>
        <v>3</v>
      </c>
      <c r="G94" s="4573"/>
      <c r="H94" s="4574">
        <v>0</v>
      </c>
      <c r="I94" s="4573">
        <v>0</v>
      </c>
      <c r="J94" s="4574"/>
      <c r="K94" s="4574"/>
      <c r="L94" s="4574">
        <f t="shared" si="7"/>
        <v>38</v>
      </c>
      <c r="M94" s="4575">
        <f t="shared" si="8"/>
        <v>18</v>
      </c>
    </row>
    <row r="95" spans="1:13">
      <c r="A95" s="3590" t="s">
        <v>1543</v>
      </c>
      <c r="B95" s="4576">
        <f>7+60+6+11+25+4</f>
        <v>113</v>
      </c>
      <c r="C95" s="4577"/>
      <c r="D95" s="4573">
        <f>192+207+36+9+4</f>
        <v>448</v>
      </c>
      <c r="E95" s="4573"/>
      <c r="F95" s="4572">
        <f>74+7+6+3</f>
        <v>90</v>
      </c>
      <c r="G95" s="4573"/>
      <c r="H95" s="4574">
        <f>4+24+7+2+2+3</f>
        <v>42</v>
      </c>
      <c r="I95" s="4573">
        <v>0</v>
      </c>
      <c r="J95" s="4574"/>
      <c r="K95" s="4574"/>
      <c r="L95" s="4574">
        <f t="shared" si="7"/>
        <v>693</v>
      </c>
      <c r="M95" s="4575">
        <f t="shared" si="8"/>
        <v>0</v>
      </c>
    </row>
    <row r="96" spans="1:13">
      <c r="A96" s="3590" t="s">
        <v>1544</v>
      </c>
      <c r="B96" s="4576"/>
      <c r="C96" s="4577">
        <f>1+7+1+4+3</f>
        <v>16</v>
      </c>
      <c r="D96" s="4573"/>
      <c r="E96" s="4573"/>
      <c r="F96" s="4572"/>
      <c r="G96" s="4573"/>
      <c r="H96" s="4574"/>
      <c r="I96" s="4573">
        <f>20+14+4+2+5</f>
        <v>45</v>
      </c>
      <c r="J96" s="4574"/>
      <c r="K96" s="4574"/>
      <c r="L96" s="4574">
        <f t="shared" si="7"/>
        <v>0</v>
      </c>
      <c r="M96" s="4575">
        <f t="shared" si="8"/>
        <v>61</v>
      </c>
    </row>
    <row r="97" spans="1:13">
      <c r="A97" s="3590" t="s">
        <v>1545</v>
      </c>
      <c r="B97" s="4576"/>
      <c r="C97" s="4577">
        <v>40</v>
      </c>
      <c r="D97" s="4573"/>
      <c r="E97" s="4573"/>
      <c r="F97" s="4572"/>
      <c r="G97" s="4573"/>
      <c r="H97" s="4574"/>
      <c r="I97" s="4573">
        <f>180+60+15</f>
        <v>255</v>
      </c>
      <c r="J97" s="4574"/>
      <c r="K97" s="4574"/>
      <c r="L97" s="4574">
        <f t="shared" si="7"/>
        <v>0</v>
      </c>
      <c r="M97" s="4575">
        <f t="shared" si="8"/>
        <v>295</v>
      </c>
    </row>
    <row r="98" spans="1:13">
      <c r="A98" s="3590" t="s">
        <v>1555</v>
      </c>
      <c r="B98" s="4576"/>
      <c r="C98" s="4577">
        <f>2+8</f>
        <v>10</v>
      </c>
      <c r="D98" s="4573"/>
      <c r="E98" s="4573"/>
      <c r="F98" s="4572"/>
      <c r="G98" s="4573"/>
      <c r="H98" s="4574"/>
      <c r="I98" s="4573">
        <v>2</v>
      </c>
      <c r="J98" s="4574"/>
      <c r="K98" s="4574"/>
      <c r="L98" s="4574">
        <f t="shared" si="7"/>
        <v>0</v>
      </c>
      <c r="M98" s="4575">
        <f t="shared" si="8"/>
        <v>12</v>
      </c>
    </row>
    <row r="99" spans="1:13">
      <c r="A99" s="3590" t="s">
        <v>1546</v>
      </c>
      <c r="B99" s="4576"/>
      <c r="C99" s="4573"/>
      <c r="D99" s="4573"/>
      <c r="E99" s="4573"/>
      <c r="F99" s="4572"/>
      <c r="G99" s="4573"/>
      <c r="H99" s="4574"/>
      <c r="I99" s="4573"/>
      <c r="J99" s="4574"/>
      <c r="K99" s="4574"/>
      <c r="L99" s="4574">
        <f t="shared" si="7"/>
        <v>0</v>
      </c>
      <c r="M99" s="4575">
        <f t="shared" si="8"/>
        <v>0</v>
      </c>
    </row>
    <row r="100" spans="1:13">
      <c r="A100" s="3590" t="s">
        <v>1547</v>
      </c>
      <c r="B100" s="4576"/>
      <c r="C100" s="4577"/>
      <c r="D100" s="4573"/>
      <c r="E100" s="4573"/>
      <c r="F100" s="4572"/>
      <c r="G100" s="4573"/>
      <c r="H100" s="4574"/>
      <c r="I100" s="4573"/>
      <c r="J100" s="4574"/>
      <c r="K100" s="4574"/>
      <c r="L100" s="4574">
        <f t="shared" si="7"/>
        <v>0</v>
      </c>
      <c r="M100" s="4575">
        <f t="shared" si="8"/>
        <v>0</v>
      </c>
    </row>
    <row r="101" spans="1:13">
      <c r="A101" s="3591" t="s">
        <v>1548</v>
      </c>
      <c r="B101" s="4578"/>
      <c r="C101" s="4579"/>
      <c r="D101" s="4580"/>
      <c r="E101" s="4580"/>
      <c r="F101" s="4581"/>
      <c r="G101" s="4582"/>
      <c r="H101" s="4583"/>
      <c r="I101" s="4582"/>
      <c r="J101" s="4583"/>
      <c r="K101" s="4583"/>
      <c r="L101" s="4574">
        <f t="shared" si="7"/>
        <v>0</v>
      </c>
      <c r="M101" s="4575">
        <f t="shared" si="8"/>
        <v>0</v>
      </c>
    </row>
    <row r="102" spans="1:13" ht="15" thickBot="1">
      <c r="A102" s="3592" t="s">
        <v>1549</v>
      </c>
      <c r="B102" s="4578"/>
      <c r="C102" s="4584"/>
      <c r="D102" s="4585"/>
      <c r="E102" s="4585"/>
      <c r="F102" s="4586"/>
      <c r="G102" s="4587"/>
      <c r="H102" s="4588"/>
      <c r="I102" s="4589"/>
      <c r="J102" s="4588"/>
      <c r="K102" s="4588"/>
      <c r="L102" s="4590"/>
      <c r="M102" s="4591">
        <f>+C102+E102+G102+I102</f>
        <v>0</v>
      </c>
    </row>
    <row r="103" spans="1:13" ht="15" thickBot="1">
      <c r="A103" s="3593" t="s">
        <v>1550</v>
      </c>
      <c r="B103" s="4592">
        <f>SUM(B85:B101)</f>
        <v>33016</v>
      </c>
      <c r="C103" s="4593">
        <f>SUM(C85:C102)</f>
        <v>6106</v>
      </c>
      <c r="D103" s="4593">
        <f>SUM(D85:D101)</f>
        <v>53618</v>
      </c>
      <c r="E103" s="4593">
        <f>SUM(E85:E101)</f>
        <v>14101</v>
      </c>
      <c r="F103" s="4594">
        <f>SUM(F85:F102)</f>
        <v>22449</v>
      </c>
      <c r="G103" s="4592">
        <f>SUM(G85:G102)</f>
        <v>7753</v>
      </c>
      <c r="H103" s="4594">
        <f>SUM(H85:H101)</f>
        <v>17930</v>
      </c>
      <c r="I103" s="4592">
        <f>SUM(I85:I101)</f>
        <v>3081</v>
      </c>
      <c r="J103" s="4592"/>
      <c r="K103" s="4592"/>
      <c r="L103" s="4592">
        <f>SUM(L85:L101)</f>
        <v>127013</v>
      </c>
      <c r="M103" s="4592">
        <f>SUM(M85:M102)</f>
        <v>31041</v>
      </c>
    </row>
    <row r="104" spans="1:13" ht="15" thickBot="1">
      <c r="A104" s="3594" t="s">
        <v>1551</v>
      </c>
      <c r="B104" s="3794">
        <f>+B103+C103</f>
        <v>39122</v>
      </c>
      <c r="C104" s="3795"/>
      <c r="D104" s="3794">
        <f>+D103+E103</f>
        <v>67719</v>
      </c>
      <c r="E104" s="3795"/>
      <c r="F104" s="3794">
        <f>+F103+G103</f>
        <v>30202</v>
      </c>
      <c r="G104" s="3795"/>
      <c r="H104" s="3794">
        <f>+H103+I103</f>
        <v>21011</v>
      </c>
      <c r="I104" s="3795"/>
      <c r="J104" s="3804"/>
      <c r="K104" s="3804"/>
      <c r="L104" s="3796">
        <f>SUM(B104:I104)</f>
        <v>158054</v>
      </c>
      <c r="M104" s="3797"/>
    </row>
    <row r="105" spans="1:13">
      <c r="A105" s="226" t="s">
        <v>1556</v>
      </c>
    </row>
    <row r="106" spans="1:13">
      <c r="A106" s="226" t="s">
        <v>1553</v>
      </c>
    </row>
    <row r="107" spans="1:13">
      <c r="A107" s="3595"/>
    </row>
    <row r="108" spans="1:13" ht="16.2" thickBot="1">
      <c r="A108" s="3588" t="s">
        <v>1517</v>
      </c>
    </row>
    <row r="109" spans="1:13" ht="31.5" customHeight="1" thickBot="1">
      <c r="A109" s="5533" t="s">
        <v>1525</v>
      </c>
      <c r="B109" s="5537" t="s">
        <v>1526</v>
      </c>
      <c r="C109" s="5537"/>
      <c r="D109" s="5538" t="s">
        <v>1527</v>
      </c>
      <c r="E109" s="5538"/>
      <c r="F109" s="5539" t="s">
        <v>1528</v>
      </c>
      <c r="G109" s="5539"/>
      <c r="H109" s="5540" t="s">
        <v>1529</v>
      </c>
      <c r="I109" s="5540"/>
      <c r="J109" s="4546" t="s">
        <v>1623</v>
      </c>
      <c r="K109" s="4547"/>
      <c r="L109" s="5535" t="s">
        <v>1514</v>
      </c>
      <c r="M109" s="5536"/>
    </row>
    <row r="110" spans="1:13" ht="15" thickBot="1">
      <c r="A110" s="5534"/>
      <c r="B110" s="4550" t="s">
        <v>1530</v>
      </c>
      <c r="C110" s="4551" t="s">
        <v>1531</v>
      </c>
      <c r="D110" s="4552" t="s">
        <v>1530</v>
      </c>
      <c r="E110" s="4553" t="s">
        <v>1531</v>
      </c>
      <c r="F110" s="4554" t="s">
        <v>1532</v>
      </c>
      <c r="G110" s="4555" t="s">
        <v>1531</v>
      </c>
      <c r="H110" s="4556" t="s">
        <v>1532</v>
      </c>
      <c r="I110" s="4557" t="s">
        <v>1531</v>
      </c>
      <c r="J110" s="4558" t="s">
        <v>1532</v>
      </c>
      <c r="K110" s="4559" t="s">
        <v>1531</v>
      </c>
      <c r="L110" s="4560" t="s">
        <v>1532</v>
      </c>
      <c r="M110" s="4561" t="s">
        <v>1531</v>
      </c>
    </row>
    <row r="111" spans="1:13">
      <c r="A111" s="3589" t="s">
        <v>1533</v>
      </c>
      <c r="B111" s="4562">
        <f>2103+582+784+666+1153+645+792+492+1559+1378+1040+5221</f>
        <v>16415</v>
      </c>
      <c r="C111" s="4563">
        <f>456+502+840+450+583+529+4+719+2+3405+6+570+151+985+2153</f>
        <v>11355</v>
      </c>
      <c r="D111" s="4564">
        <f>1774+248+528+402+387+322+932+370+115+48+175+562</f>
        <v>5863</v>
      </c>
      <c r="E111" s="4564">
        <f>1608+152+3148+342+5009+496+2441+325+2757+286+2669+208+3677+362+6854+568+2896+264+899+70+2650+170+2117+192</f>
        <v>40160</v>
      </c>
      <c r="F111" s="4565">
        <f>654+157+302+402+334+542+498+369+116+172+297+335</f>
        <v>4178</v>
      </c>
      <c r="G111" s="4566">
        <f>526+886+4+1326+2+902+1006+704+4+1200+4+1854+1220+6+311+877+579</f>
        <v>11411</v>
      </c>
      <c r="H111" s="4567">
        <f>518+45+119+42+39+72+100+242+24+256+65+175</f>
        <v>1697</v>
      </c>
      <c r="I111" s="4566">
        <f>275+321+510+387+612+376+750+3741+594+120+817+1426</f>
        <v>9929</v>
      </c>
      <c r="J111" s="4567"/>
      <c r="K111" s="4567"/>
      <c r="L111" s="4567">
        <f t="shared" ref="L111:L126" si="9">+B111+D111+F111+H111</f>
        <v>28153</v>
      </c>
      <c r="M111" s="4568">
        <f t="shared" ref="M111:M126" si="10">+C111+E111+G111+I111</f>
        <v>72855</v>
      </c>
    </row>
    <row r="112" spans="1:13">
      <c r="A112" s="3590" t="s">
        <v>1534</v>
      </c>
      <c r="B112" s="4569">
        <f>291+98+200+80+96+135+288+830+382+236+337+679</f>
        <v>3652</v>
      </c>
      <c r="C112" s="4570">
        <f>66+97+127+71+103+46+1</f>
        <v>511</v>
      </c>
      <c r="D112" s="4571">
        <f>76+12+11+9+144+771+1150+299+123+274+280</f>
        <v>3149</v>
      </c>
      <c r="E112" s="4571">
        <f>171+350+542+271+288+97</f>
        <v>1719</v>
      </c>
      <c r="F112" s="4572">
        <f>19+86+206+373+166+69+106+106</f>
        <v>1131</v>
      </c>
      <c r="G112" s="4573">
        <f>41+93+97+71+84+38</f>
        <v>424</v>
      </c>
      <c r="H112" s="4574">
        <f>161+23+67+159+398+635+169+85+227+749</f>
        <v>2673</v>
      </c>
      <c r="I112" s="4573">
        <f>109+113+109+102+126+39</f>
        <v>598</v>
      </c>
      <c r="J112" s="4574"/>
      <c r="K112" s="4574"/>
      <c r="L112" s="4574">
        <f t="shared" si="9"/>
        <v>10605</v>
      </c>
      <c r="M112" s="4575">
        <f t="shared" si="10"/>
        <v>3252</v>
      </c>
    </row>
    <row r="113" spans="1:13">
      <c r="A113" s="3590" t="s">
        <v>1535</v>
      </c>
      <c r="B113" s="4569">
        <f>1476+349+743+298+709+308+6+491+3+162+661+954+703+863</f>
        <v>7726</v>
      </c>
      <c r="C113" s="4570">
        <f>877+730+1044+937+876+1311+739+1096+463+386+716+803</f>
        <v>9978</v>
      </c>
      <c r="D113" s="4571">
        <f>318+45+52+70+151+149+55+73+70+45+19+50+221+33+276+120+26+73+16+13+40+171+53</f>
        <v>2139</v>
      </c>
      <c r="E113" s="4571">
        <f>586+1006+1466+1075+1080+1228+1370+1502+679+382+895+698</f>
        <v>11967</v>
      </c>
      <c r="F113" s="4572">
        <f>311+11+91+2+248+334+78+33+3+1+12+70</f>
        <v>1194</v>
      </c>
      <c r="G113" s="4573">
        <f>393+499+759+869+748+520+439+607+396+189+901+398</f>
        <v>6718</v>
      </c>
      <c r="H113" s="4574">
        <f>215+1+45+26+78+101+10+25</f>
        <v>501</v>
      </c>
      <c r="I113" s="4573">
        <f>251+121+192+234+329+199+176+665+178+72+352+385</f>
        <v>3154</v>
      </c>
      <c r="J113" s="4574"/>
      <c r="K113" s="4574"/>
      <c r="L113" s="4574">
        <f t="shared" si="9"/>
        <v>11560</v>
      </c>
      <c r="M113" s="4575">
        <f t="shared" si="10"/>
        <v>31817</v>
      </c>
    </row>
    <row r="114" spans="1:13">
      <c r="A114" s="3590" t="s">
        <v>1536</v>
      </c>
      <c r="B114" s="4569">
        <f>665+226+452+309+277+3+110+574+506+9+192+177+223+1+1065</f>
        <v>4789</v>
      </c>
      <c r="C114" s="4570">
        <f>632+416+806+591+558+597+471+972+138+23+890+833</f>
        <v>6927</v>
      </c>
      <c r="D114" s="4571">
        <f>1114+183+63+449+431+592+331+416+129+384+403+259+999+519+1175+729+91+323+17+89+21+209+301+232</f>
        <v>9459</v>
      </c>
      <c r="E114" s="4571">
        <f>1923+3638+4348+3552+3528+3392+4202+4322+1083+703+2367+2083</f>
        <v>35141</v>
      </c>
      <c r="F114" s="4572">
        <f>312+129+3+548+260+278+6+1160+6+1931+65+6+124+74+382</f>
        <v>5284</v>
      </c>
      <c r="G114" s="4573">
        <f>2805+2296+2917+2626+2515+3256+3167+2176+644+465+3765+1427</f>
        <v>28059</v>
      </c>
      <c r="H114" s="4574">
        <f>78+35+70+4+16+1+201+340+4+45+49</f>
        <v>843</v>
      </c>
      <c r="I114" s="4573">
        <f>45+71+90+37+135+47+128+637+63+18+117+217</f>
        <v>1605</v>
      </c>
      <c r="J114" s="4574"/>
      <c r="K114" s="4574"/>
      <c r="L114" s="4574">
        <f t="shared" si="9"/>
        <v>20375</v>
      </c>
      <c r="M114" s="4575">
        <f t="shared" si="10"/>
        <v>71732</v>
      </c>
    </row>
    <row r="115" spans="1:13">
      <c r="A115" s="3590" t="s">
        <v>1537</v>
      </c>
      <c r="B115" s="4569">
        <f>114+51+62+19+62+41+84+110+42+38+44+87</f>
        <v>754</v>
      </c>
      <c r="C115" s="4570"/>
      <c r="D115" s="4571">
        <f>376+472+691+413+475+398+595+890+361+134+408+315</f>
        <v>5528</v>
      </c>
      <c r="E115" s="4571"/>
      <c r="F115" s="4572">
        <f>219+204+272+282+238+189+443+391+168+93+271+124</f>
        <v>2894</v>
      </c>
      <c r="G115" s="4573"/>
      <c r="H115" s="4574">
        <f>11+2+6+1+2+1+2</f>
        <v>25</v>
      </c>
      <c r="I115" s="4573"/>
      <c r="J115" s="4574"/>
      <c r="K115" s="4574"/>
      <c r="L115" s="4574">
        <f t="shared" si="9"/>
        <v>9201</v>
      </c>
      <c r="M115" s="4575">
        <f t="shared" si="10"/>
        <v>0</v>
      </c>
    </row>
    <row r="116" spans="1:13">
      <c r="A116" s="3590" t="s">
        <v>1538</v>
      </c>
      <c r="B116" s="4569">
        <f>1391+443+715+504+358+423+369+172+599+508+649+550</f>
        <v>6681</v>
      </c>
      <c r="C116" s="4570">
        <f>279+297+309+405+331+349+506+447+288+140+345+302</f>
        <v>3998</v>
      </c>
      <c r="D116" s="4571">
        <f>3+1</f>
        <v>4</v>
      </c>
      <c r="E116" s="4571">
        <f>21+19+20+47+31+47+40+51+17+10+18+8</f>
        <v>329</v>
      </c>
      <c r="F116" s="4572">
        <v>2</v>
      </c>
      <c r="G116" s="4573">
        <f>20+7+8+16+2+16+11+18+19+2+8+9</f>
        <v>136</v>
      </c>
      <c r="H116" s="4574">
        <f>131+1+11+52+35</f>
        <v>230</v>
      </c>
      <c r="I116" s="4573">
        <f>146+125+113+94+99+121+224+128+122+32+146+70</f>
        <v>1420</v>
      </c>
      <c r="J116" s="4574"/>
      <c r="K116" s="4574"/>
      <c r="L116" s="4574">
        <f t="shared" si="9"/>
        <v>6917</v>
      </c>
      <c r="M116" s="4575">
        <f t="shared" si="10"/>
        <v>5883</v>
      </c>
    </row>
    <row r="117" spans="1:13">
      <c r="A117" s="3590" t="s">
        <v>1539</v>
      </c>
      <c r="B117" s="4569">
        <f>238+62+195+63+84+141+191+114+223+160+423+169</f>
        <v>2063</v>
      </c>
      <c r="C117" s="4570">
        <f>183+169+136+132+139+34</f>
        <v>793</v>
      </c>
      <c r="D117" s="4571">
        <f>2+1+1+1</f>
        <v>5</v>
      </c>
      <c r="E117" s="4571">
        <v>2</v>
      </c>
      <c r="F117" s="4572">
        <f>3+1+1+2+1</f>
        <v>8</v>
      </c>
      <c r="G117" s="4573">
        <f>2+1+2</f>
        <v>5</v>
      </c>
      <c r="H117" s="4574">
        <f>29+25+26+37+33+10+37+23</f>
        <v>220</v>
      </c>
      <c r="I117" s="4573">
        <f>51+42+49+23+1+4</f>
        <v>170</v>
      </c>
      <c r="J117" s="4574"/>
      <c r="K117" s="4574"/>
      <c r="L117" s="4574">
        <f t="shared" si="9"/>
        <v>2296</v>
      </c>
      <c r="M117" s="4575">
        <f t="shared" si="10"/>
        <v>970</v>
      </c>
    </row>
    <row r="118" spans="1:13">
      <c r="A118" s="3590" t="s">
        <v>1540</v>
      </c>
      <c r="B118" s="4569">
        <f>255+64+222+37+39+30+54+34+109+63+88+12</f>
        <v>1007</v>
      </c>
      <c r="C118" s="4570">
        <f>98+178+200+89+107+183+250+169+154+47+97+36</f>
        <v>1608</v>
      </c>
      <c r="D118" s="4571"/>
      <c r="E118" s="4571">
        <f>7+5+5+42+1+5+2+20+2+6+3</f>
        <v>98</v>
      </c>
      <c r="F118" s="4572"/>
      <c r="G118" s="4573">
        <f>2+2+1+2+1+3</f>
        <v>11</v>
      </c>
      <c r="H118" s="4574">
        <v>3</v>
      </c>
      <c r="I118" s="4573">
        <f>32+3+2+1+1+9+2+1+2+11+2</f>
        <v>66</v>
      </c>
      <c r="J118" s="4574"/>
      <c r="K118" s="4574"/>
      <c r="L118" s="4574">
        <f t="shared" si="9"/>
        <v>1010</v>
      </c>
      <c r="M118" s="4575">
        <f t="shared" si="10"/>
        <v>1783</v>
      </c>
    </row>
    <row r="119" spans="1:13">
      <c r="A119" s="3590" t="s">
        <v>1541</v>
      </c>
      <c r="B119" s="4576">
        <f>43+9+27+4+7+4+22+1+13+7+2+10</f>
        <v>149</v>
      </c>
      <c r="C119" s="4577">
        <f>13+9+13+16+7+17+37+29+4+4+9+26</f>
        <v>184</v>
      </c>
      <c r="D119" s="4573"/>
      <c r="E119" s="4573">
        <f>2+4+5+6+1+15+16+13+1+9+2</f>
        <v>74</v>
      </c>
      <c r="F119" s="4572"/>
      <c r="G119" s="4573">
        <f>13+6+1+1+12+7+9+16+11+2+5+4</f>
        <v>87</v>
      </c>
      <c r="H119" s="4574">
        <v>6</v>
      </c>
      <c r="I119" s="4573">
        <f>3+2+2+3</f>
        <v>10</v>
      </c>
      <c r="J119" s="4574"/>
      <c r="K119" s="4574"/>
      <c r="L119" s="4574">
        <f t="shared" si="9"/>
        <v>155</v>
      </c>
      <c r="M119" s="4575">
        <f t="shared" si="10"/>
        <v>355</v>
      </c>
    </row>
    <row r="120" spans="1:13">
      <c r="A120" s="3590" t="s">
        <v>1542</v>
      </c>
      <c r="B120" s="4576">
        <f>7+1+7+2+2+3+2+4+9+1</f>
        <v>38</v>
      </c>
      <c r="C120" s="4577"/>
      <c r="D120" s="4573">
        <f>2+1+2+1+4+1+3+3+1</f>
        <v>18</v>
      </c>
      <c r="E120" s="4573"/>
      <c r="F120" s="4572">
        <f>3+1+2+6+4+1+1+2</f>
        <v>20</v>
      </c>
      <c r="G120" s="4573"/>
      <c r="H120" s="4574">
        <v>1</v>
      </c>
      <c r="I120" s="4573"/>
      <c r="J120" s="4574"/>
      <c r="K120" s="4574"/>
      <c r="L120" s="4574">
        <f t="shared" si="9"/>
        <v>77</v>
      </c>
      <c r="M120" s="4575">
        <f t="shared" si="10"/>
        <v>0</v>
      </c>
    </row>
    <row r="121" spans="1:13">
      <c r="A121" s="3590" t="s">
        <v>1543</v>
      </c>
      <c r="B121" s="4576">
        <f>38+26+36+73+27+27+32+113+20+11+36+57</f>
        <v>496</v>
      </c>
      <c r="C121" s="4577"/>
      <c r="D121" s="4573">
        <f>51+123+196+120+193+153+141+169+129+40+72+58</f>
        <v>1445</v>
      </c>
      <c r="E121" s="4573"/>
      <c r="F121" s="4572">
        <f>18+20+25+35+55+15+45+86+32+10+61+18</f>
        <v>420</v>
      </c>
      <c r="G121" s="4573"/>
      <c r="H121" s="4574">
        <f>7+14+21+6+17+8+26+72+14+5+50+33</f>
        <v>273</v>
      </c>
      <c r="I121" s="4573"/>
      <c r="J121" s="4574"/>
      <c r="K121" s="4574"/>
      <c r="L121" s="4574">
        <f t="shared" si="9"/>
        <v>2634</v>
      </c>
      <c r="M121" s="4575">
        <f t="shared" si="10"/>
        <v>0</v>
      </c>
    </row>
    <row r="122" spans="1:13">
      <c r="A122" s="3590" t="s">
        <v>1544</v>
      </c>
      <c r="B122" s="4576"/>
      <c r="C122" s="4577">
        <f>2+7+1+3+7+19+7+4+5+3+5+7</f>
        <v>70</v>
      </c>
      <c r="D122" s="4573"/>
      <c r="E122" s="4573"/>
      <c r="F122" s="4572"/>
      <c r="G122" s="4573"/>
      <c r="H122" s="4574"/>
      <c r="I122" s="4573">
        <f>63+59+31+35+38+27+29+5+21+4+36+21</f>
        <v>369</v>
      </c>
      <c r="J122" s="4574"/>
      <c r="K122" s="4574"/>
      <c r="L122" s="4574">
        <f t="shared" si="9"/>
        <v>0</v>
      </c>
      <c r="M122" s="4575">
        <f t="shared" si="10"/>
        <v>439</v>
      </c>
    </row>
    <row r="123" spans="1:13">
      <c r="A123" s="3590" t="s">
        <v>1545</v>
      </c>
      <c r="B123" s="4576"/>
      <c r="C123" s="4577">
        <f>80+21+1+26</f>
        <v>128</v>
      </c>
      <c r="D123" s="4573"/>
      <c r="E123" s="4573"/>
      <c r="F123" s="4572"/>
      <c r="G123" s="4573"/>
      <c r="H123" s="4574"/>
      <c r="I123" s="4573">
        <f>45+223+291+128+124+120+124+120+120+93+101+120</f>
        <v>1609</v>
      </c>
      <c r="J123" s="4574"/>
      <c r="K123" s="4574"/>
      <c r="L123" s="4574">
        <f t="shared" si="9"/>
        <v>0</v>
      </c>
      <c r="M123" s="4575">
        <f t="shared" si="10"/>
        <v>1737</v>
      </c>
    </row>
    <row r="124" spans="1:13">
      <c r="A124" s="3590" t="s">
        <v>1546</v>
      </c>
      <c r="B124" s="4576">
        <v>17</v>
      </c>
      <c r="C124" s="4573">
        <f>17+9+17</f>
        <v>43</v>
      </c>
      <c r="D124" s="4573"/>
      <c r="E124" s="4573">
        <f>32+4</f>
        <v>36</v>
      </c>
      <c r="F124" s="4572"/>
      <c r="G124" s="4573">
        <v>75</v>
      </c>
      <c r="H124" s="4574"/>
      <c r="I124" s="4573"/>
      <c r="J124" s="4574"/>
      <c r="K124" s="4574"/>
      <c r="L124" s="4574">
        <f t="shared" si="9"/>
        <v>17</v>
      </c>
      <c r="M124" s="4575">
        <f t="shared" si="10"/>
        <v>154</v>
      </c>
    </row>
    <row r="125" spans="1:13">
      <c r="A125" s="3590" t="s">
        <v>1547</v>
      </c>
      <c r="B125" s="4576"/>
      <c r="C125" s="4577"/>
      <c r="D125" s="4573"/>
      <c r="E125" s="4573"/>
      <c r="F125" s="4572"/>
      <c r="G125" s="4573">
        <v>1</v>
      </c>
      <c r="H125" s="4574"/>
      <c r="I125" s="4573"/>
      <c r="J125" s="4574"/>
      <c r="K125" s="4574"/>
      <c r="L125" s="4574">
        <f t="shared" si="9"/>
        <v>0</v>
      </c>
      <c r="M125" s="4575">
        <f t="shared" si="10"/>
        <v>1</v>
      </c>
    </row>
    <row r="126" spans="1:13">
      <c r="A126" s="3591" t="s">
        <v>1548</v>
      </c>
      <c r="B126" s="4578">
        <f>28942+26024</f>
        <v>54966</v>
      </c>
      <c r="C126" s="4579"/>
      <c r="D126" s="4580"/>
      <c r="E126" s="4580"/>
      <c r="F126" s="4581"/>
      <c r="G126" s="4582"/>
      <c r="H126" s="4583"/>
      <c r="I126" s="4582"/>
      <c r="J126" s="4583"/>
      <c r="K126" s="4583"/>
      <c r="L126" s="4574">
        <f t="shared" si="9"/>
        <v>54966</v>
      </c>
      <c r="M126" s="4575">
        <f t="shared" si="10"/>
        <v>0</v>
      </c>
    </row>
    <row r="127" spans="1:13" ht="15" thickBot="1">
      <c r="A127" s="3592" t="s">
        <v>1549</v>
      </c>
      <c r="B127" s="4578"/>
      <c r="C127" s="4584"/>
      <c r="D127" s="4585"/>
      <c r="E127" s="4585"/>
      <c r="F127" s="4586"/>
      <c r="G127" s="4587">
        <f>215+339+162+19</f>
        <v>735</v>
      </c>
      <c r="H127" s="4588"/>
      <c r="I127" s="4589"/>
      <c r="J127" s="4588"/>
      <c r="K127" s="4588"/>
      <c r="L127" s="4590"/>
      <c r="M127" s="4591">
        <f>+C127+E127+G127+I127</f>
        <v>735</v>
      </c>
    </row>
    <row r="128" spans="1:13" ht="15" thickBot="1">
      <c r="A128" s="3593" t="s">
        <v>1550</v>
      </c>
      <c r="B128" s="4592">
        <f>SUM(B111:B126)</f>
        <v>98753</v>
      </c>
      <c r="C128" s="4593">
        <f>SUM(C111:C127)</f>
        <v>35595</v>
      </c>
      <c r="D128" s="4593">
        <f t="shared" ref="D128:L128" si="11">SUM(D111:D126)</f>
        <v>27610</v>
      </c>
      <c r="E128" s="4593">
        <f t="shared" si="11"/>
        <v>89526</v>
      </c>
      <c r="F128" s="4594">
        <f>SUM(F111:F127)</f>
        <v>15131</v>
      </c>
      <c r="G128" s="4592">
        <f>SUM(G111:G127)</f>
        <v>47662</v>
      </c>
      <c r="H128" s="4594">
        <f t="shared" si="11"/>
        <v>6472</v>
      </c>
      <c r="I128" s="4592">
        <f t="shared" si="11"/>
        <v>18930</v>
      </c>
      <c r="J128" s="4592"/>
      <c r="K128" s="4592"/>
      <c r="L128" s="4592">
        <f t="shared" si="11"/>
        <v>147966</v>
      </c>
      <c r="M128" s="4592">
        <f>SUM(M111:M127)</f>
        <v>191713</v>
      </c>
    </row>
    <row r="129" spans="1:13" ht="15" thickBot="1">
      <c r="A129" s="3594" t="s">
        <v>1551</v>
      </c>
      <c r="B129" s="3794">
        <f>+B128+C128</f>
        <v>134348</v>
      </c>
      <c r="C129" s="3795"/>
      <c r="D129" s="3794">
        <f>+D128+E128</f>
        <v>117136</v>
      </c>
      <c r="E129" s="3795"/>
      <c r="F129" s="3794">
        <f>+F128+G128</f>
        <v>62793</v>
      </c>
      <c r="G129" s="3795"/>
      <c r="H129" s="3794">
        <f>+H128+I128</f>
        <v>25402</v>
      </c>
      <c r="I129" s="3795"/>
      <c r="J129" s="3804"/>
      <c r="K129" s="3804"/>
      <c r="L129" s="3796">
        <f>SUM(B129:I129)</f>
        <v>339679</v>
      </c>
      <c r="M129" s="3797"/>
    </row>
    <row r="130" spans="1:13">
      <c r="A130" s="226" t="s">
        <v>1552</v>
      </c>
    </row>
    <row r="131" spans="1:13">
      <c r="A131" s="226" t="s">
        <v>1553</v>
      </c>
    </row>
  </sheetData>
  <mergeCells count="21">
    <mergeCell ref="L42:M42"/>
    <mergeCell ref="J5:K5"/>
    <mergeCell ref="L5:M5"/>
    <mergeCell ref="A5:A6"/>
    <mergeCell ref="B5:C5"/>
    <mergeCell ref="D5:E5"/>
    <mergeCell ref="F5:G5"/>
    <mergeCell ref="H5:I5"/>
    <mergeCell ref="A42:A43"/>
    <mergeCell ref="B42:C42"/>
    <mergeCell ref="D42:E42"/>
    <mergeCell ref="F42:G42"/>
    <mergeCell ref="H42:I42"/>
    <mergeCell ref="J42:K42"/>
    <mergeCell ref="A83:A84"/>
    <mergeCell ref="L109:M109"/>
    <mergeCell ref="A109:A110"/>
    <mergeCell ref="B109:C109"/>
    <mergeCell ref="D109:E109"/>
    <mergeCell ref="F109:G109"/>
    <mergeCell ref="H109:I109"/>
  </mergeCells>
  <pageMargins left="0.70866141732283472" right="0.70866141732283472" top="0.74803149606299213" bottom="0.74803149606299213" header="0.31496062992125984" footer="0.31496062992125984"/>
  <pageSetup paperSize="9" scale="22" orientation="landscape"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topLeftCell="A7" workbookViewId="0">
      <selection activeCell="G16" sqref="G16"/>
    </sheetView>
  </sheetViews>
  <sheetFormatPr baseColWidth="10" defaultColWidth="9.6640625" defaultRowHeight="14.4"/>
  <cols>
    <col min="1" max="1" width="4" style="681" customWidth="1"/>
    <col min="2" max="2" width="23.77734375" style="1787" customWidth="1"/>
    <col min="3" max="6" width="13" style="1081" customWidth="1"/>
    <col min="7" max="12" width="13" style="681" customWidth="1"/>
    <col min="13" max="14" width="9.5546875" customWidth="1"/>
  </cols>
  <sheetData>
    <row r="1" spans="1:20" ht="46.2" customHeight="1">
      <c r="A1" s="5571" t="s">
        <v>1099</v>
      </c>
      <c r="B1" s="5571"/>
      <c r="C1" s="5571"/>
      <c r="D1" s="5571"/>
      <c r="E1" s="5571"/>
      <c r="F1" s="5571"/>
      <c r="G1" s="5571"/>
      <c r="H1" s="5571"/>
      <c r="I1" s="2819"/>
      <c r="J1" s="2819"/>
      <c r="K1" s="2819"/>
      <c r="L1" s="2819"/>
    </row>
    <row r="2" spans="1:20">
      <c r="B2" s="1784" t="s">
        <v>1100</v>
      </c>
    </row>
    <row r="3" spans="1:20">
      <c r="B3" s="1785"/>
    </row>
    <row r="4" spans="1:20" ht="15" thickBot="1">
      <c r="A4" s="1786" t="s">
        <v>1101</v>
      </c>
      <c r="C4" s="1788"/>
      <c r="D4" s="1788"/>
      <c r="F4" s="1788"/>
    </row>
    <row r="5" spans="1:20" ht="28.8">
      <c r="B5" s="5559" t="s">
        <v>602</v>
      </c>
      <c r="C5" s="1789" t="s">
        <v>1102</v>
      </c>
      <c r="D5" s="1790" t="s">
        <v>603</v>
      </c>
      <c r="E5" s="2083" t="s">
        <v>1102</v>
      </c>
      <c r="F5" s="2084" t="s">
        <v>603</v>
      </c>
      <c r="G5" s="2085" t="s">
        <v>1102</v>
      </c>
      <c r="H5" s="2086" t="s">
        <v>603</v>
      </c>
      <c r="I5" s="2844"/>
      <c r="J5" s="2844"/>
      <c r="K5" s="2844"/>
      <c r="L5" s="2844"/>
      <c r="N5" s="2170" t="s">
        <v>1397</v>
      </c>
      <c r="O5" s="2168"/>
      <c r="P5" s="2168"/>
      <c r="Q5" s="2168"/>
      <c r="R5" s="2168"/>
      <c r="S5" s="2169">
        <v>43891</v>
      </c>
      <c r="T5" s="2168"/>
    </row>
    <row r="6" spans="1:20" ht="15" thickBot="1">
      <c r="B6" s="5560"/>
      <c r="C6" s="5561">
        <v>2016</v>
      </c>
      <c r="D6" s="5562"/>
      <c r="E6" s="5563">
        <v>2017</v>
      </c>
      <c r="F6" s="5564"/>
      <c r="G6" s="5565">
        <v>2018</v>
      </c>
      <c r="H6" s="5566"/>
      <c r="I6" s="2845"/>
      <c r="J6" s="2845"/>
      <c r="K6" s="2845"/>
      <c r="L6" s="2845"/>
      <c r="N6" s="2168"/>
      <c r="O6" s="2168"/>
      <c r="P6" s="2168"/>
      <c r="Q6" s="2168"/>
      <c r="R6" s="2168"/>
      <c r="S6" s="2168"/>
      <c r="T6" s="2168"/>
    </row>
    <row r="7" spans="1:20">
      <c r="B7" s="1791" t="s">
        <v>604</v>
      </c>
      <c r="C7" s="1792">
        <v>1</v>
      </c>
      <c r="D7" s="1793">
        <v>103</v>
      </c>
      <c r="E7" s="1792">
        <v>1</v>
      </c>
      <c r="F7" s="1793">
        <v>131</v>
      </c>
      <c r="G7" s="1792">
        <v>1</v>
      </c>
      <c r="H7" s="1793">
        <v>133</v>
      </c>
      <c r="I7" s="2846"/>
      <c r="J7" s="2846"/>
      <c r="K7" s="2846"/>
      <c r="L7" s="2846"/>
      <c r="N7" s="2168"/>
      <c r="O7" s="2168"/>
      <c r="P7" s="2168"/>
      <c r="Q7" s="2168"/>
      <c r="R7" s="2168"/>
      <c r="S7" s="2168"/>
      <c r="T7" s="2168"/>
    </row>
    <row r="8" spans="1:20">
      <c r="B8" s="1794" t="s">
        <v>605</v>
      </c>
      <c r="C8" s="1795">
        <v>2</v>
      </c>
      <c r="D8" s="1796">
        <v>76</v>
      </c>
      <c r="E8" s="1795">
        <v>2</v>
      </c>
      <c r="F8" s="1796">
        <v>74</v>
      </c>
      <c r="G8" s="1795">
        <v>2</v>
      </c>
      <c r="H8" s="1796">
        <v>67</v>
      </c>
      <c r="I8" s="2846"/>
      <c r="J8" s="2846"/>
      <c r="K8" s="2846"/>
      <c r="L8" s="2846"/>
      <c r="N8" s="2168"/>
      <c r="O8" s="2168"/>
      <c r="P8" s="2168"/>
      <c r="Q8" s="2168"/>
      <c r="R8" s="2168"/>
      <c r="S8" s="2168"/>
      <c r="T8" s="2168"/>
    </row>
    <row r="9" spans="1:20">
      <c r="B9" s="1794" t="s">
        <v>607</v>
      </c>
      <c r="C9" s="1795">
        <v>4</v>
      </c>
      <c r="D9" s="1796">
        <v>63</v>
      </c>
      <c r="E9" s="1795">
        <v>4</v>
      </c>
      <c r="F9" s="1796">
        <v>55</v>
      </c>
      <c r="G9" s="1795">
        <v>3</v>
      </c>
      <c r="H9" s="1796">
        <v>60</v>
      </c>
      <c r="I9" s="2846"/>
      <c r="J9" s="2846"/>
      <c r="K9" s="2846"/>
      <c r="L9" s="2846"/>
      <c r="N9" s="2168"/>
      <c r="O9" s="2168"/>
      <c r="P9" s="2168"/>
      <c r="Q9" s="2168"/>
      <c r="R9" s="2168"/>
      <c r="S9" s="2168"/>
      <c r="T9" s="2168"/>
    </row>
    <row r="10" spans="1:20">
      <c r="B10" s="1794" t="s">
        <v>606</v>
      </c>
      <c r="C10" s="1795">
        <v>3</v>
      </c>
      <c r="D10" s="1796">
        <v>64</v>
      </c>
      <c r="E10" s="1795">
        <v>3</v>
      </c>
      <c r="F10" s="1796">
        <v>66</v>
      </c>
      <c r="G10" s="1795">
        <v>4</v>
      </c>
      <c r="H10" s="1796">
        <v>59</v>
      </c>
      <c r="I10" s="2846"/>
      <c r="J10" s="2846"/>
      <c r="K10" s="2846"/>
      <c r="L10" s="2846"/>
      <c r="N10" s="2168"/>
      <c r="O10" s="2168"/>
      <c r="P10" s="2168"/>
      <c r="Q10" s="2168"/>
      <c r="R10" s="2168"/>
      <c r="S10" s="2168"/>
      <c r="T10" s="2168"/>
    </row>
    <row r="11" spans="1:20">
      <c r="B11" s="2093" t="s">
        <v>13</v>
      </c>
      <c r="C11" s="2087"/>
      <c r="D11" s="2088">
        <v>52</v>
      </c>
      <c r="E11" s="2087"/>
      <c r="F11" s="2088">
        <v>50</v>
      </c>
      <c r="G11" s="2087">
        <v>5</v>
      </c>
      <c r="H11" s="2088">
        <v>48</v>
      </c>
      <c r="I11" s="2847"/>
      <c r="J11" s="2847"/>
      <c r="K11" s="2847"/>
      <c r="L11" s="2847"/>
      <c r="N11" s="2168"/>
      <c r="O11" s="2168"/>
      <c r="P11" s="2168"/>
      <c r="Q11" s="2168"/>
      <c r="R11" s="2168"/>
      <c r="S11" s="2168"/>
      <c r="T11" s="2168"/>
    </row>
    <row r="12" spans="1:20">
      <c r="B12" s="1794" t="s">
        <v>610</v>
      </c>
      <c r="C12" s="1795">
        <v>7</v>
      </c>
      <c r="D12" s="1796">
        <v>45</v>
      </c>
      <c r="E12" s="1795">
        <v>5</v>
      </c>
      <c r="F12" s="1796">
        <v>52</v>
      </c>
      <c r="G12" s="1795">
        <v>6</v>
      </c>
      <c r="H12" s="1796">
        <v>46</v>
      </c>
      <c r="I12" s="2846"/>
      <c r="J12" s="2846"/>
      <c r="K12" s="2846"/>
      <c r="L12" s="2846"/>
      <c r="N12" s="2168"/>
      <c r="O12" s="2168"/>
      <c r="P12" s="2168"/>
      <c r="Q12" s="2168"/>
      <c r="R12" s="2168"/>
      <c r="S12" s="2168"/>
      <c r="T12" s="2168"/>
    </row>
    <row r="13" spans="1:20">
      <c r="B13" s="1794" t="s">
        <v>609</v>
      </c>
      <c r="C13" s="1795">
        <v>6</v>
      </c>
      <c r="D13" s="1796">
        <v>46</v>
      </c>
      <c r="E13" s="1795">
        <v>6</v>
      </c>
      <c r="F13" s="1796">
        <v>48</v>
      </c>
      <c r="G13" s="1795">
        <v>6</v>
      </c>
      <c r="H13" s="1796">
        <v>46</v>
      </c>
      <c r="I13" s="2846"/>
      <c r="J13" s="2846"/>
      <c r="K13" s="2846"/>
      <c r="L13" s="2846"/>
      <c r="N13" s="2168"/>
      <c r="O13" s="2168"/>
      <c r="P13" s="2168"/>
      <c r="Q13" s="2168"/>
      <c r="R13" s="2168"/>
      <c r="S13" s="2168"/>
      <c r="T13" s="2168"/>
    </row>
    <row r="14" spans="1:20">
      <c r="B14" s="1794" t="s">
        <v>608</v>
      </c>
      <c r="C14" s="1795">
        <v>5</v>
      </c>
      <c r="D14" s="1796">
        <v>48</v>
      </c>
      <c r="E14" s="1795">
        <v>7</v>
      </c>
      <c r="F14" s="1796">
        <v>40</v>
      </c>
      <c r="G14" s="1795">
        <v>8</v>
      </c>
      <c r="H14" s="1796">
        <v>42</v>
      </c>
      <c r="I14" s="2846"/>
      <c r="J14" s="2846"/>
      <c r="K14" s="2846"/>
      <c r="L14" s="2846"/>
      <c r="N14" s="2168"/>
      <c r="O14" s="2168"/>
      <c r="P14" s="2168"/>
      <c r="Q14" s="2168"/>
      <c r="R14" s="2168"/>
      <c r="S14" s="2168"/>
      <c r="T14" s="2168"/>
    </row>
    <row r="15" spans="1:20">
      <c r="B15" s="1794" t="s">
        <v>612</v>
      </c>
      <c r="C15" s="1795">
        <v>9</v>
      </c>
      <c r="D15" s="1796">
        <v>32</v>
      </c>
      <c r="E15" s="1795">
        <v>8</v>
      </c>
      <c r="F15" s="1796">
        <v>35</v>
      </c>
      <c r="G15" s="1795">
        <v>9</v>
      </c>
      <c r="H15" s="1796">
        <v>35</v>
      </c>
      <c r="I15" s="2846"/>
      <c r="J15" s="2846"/>
      <c r="K15" s="2846"/>
      <c r="L15" s="2846"/>
      <c r="N15" s="2168"/>
      <c r="O15" s="2168"/>
      <c r="P15" s="2168"/>
      <c r="Q15" s="2168"/>
      <c r="R15" s="2168"/>
      <c r="S15" s="2168"/>
      <c r="T15" s="2168"/>
    </row>
    <row r="16" spans="1:20">
      <c r="B16" s="1794" t="s">
        <v>1364</v>
      </c>
      <c r="C16" s="1795"/>
      <c r="D16" s="1796"/>
      <c r="E16" s="1795"/>
      <c r="F16" s="1796"/>
      <c r="G16" s="1795">
        <v>10</v>
      </c>
      <c r="H16" s="1796">
        <v>32</v>
      </c>
      <c r="I16" s="2846"/>
      <c r="J16" s="2846"/>
      <c r="K16" s="2846"/>
      <c r="L16" s="2846"/>
      <c r="N16" s="2168"/>
      <c r="O16" s="2168"/>
      <c r="P16" s="2168"/>
      <c r="Q16" s="2168"/>
      <c r="R16" s="2168"/>
      <c r="S16" s="2168"/>
      <c r="T16" s="2168"/>
    </row>
    <row r="17" spans="1:20">
      <c r="B17" s="1794" t="s">
        <v>611</v>
      </c>
      <c r="C17" s="1795">
        <v>8</v>
      </c>
      <c r="D17" s="1796">
        <v>42</v>
      </c>
      <c r="E17" s="1802">
        <v>10</v>
      </c>
      <c r="F17" s="1803">
        <v>23</v>
      </c>
      <c r="G17" s="1802">
        <v>11</v>
      </c>
      <c r="H17" s="1803">
        <v>25</v>
      </c>
      <c r="I17" s="1084"/>
      <c r="J17" s="1084"/>
      <c r="K17" s="1084"/>
      <c r="L17" s="1084"/>
      <c r="N17" s="2168"/>
      <c r="O17" s="2168"/>
      <c r="P17" s="2168"/>
      <c r="Q17" s="2168"/>
      <c r="R17" s="2168"/>
      <c r="S17" s="2168"/>
      <c r="T17" s="2168"/>
    </row>
    <row r="18" spans="1:20">
      <c r="B18" s="1794" t="s">
        <v>1365</v>
      </c>
      <c r="C18" s="1795"/>
      <c r="D18" s="1796"/>
      <c r="E18" s="1795"/>
      <c r="F18" s="1796"/>
      <c r="G18" s="1795">
        <v>12</v>
      </c>
      <c r="H18" s="1796">
        <v>23</v>
      </c>
      <c r="I18" s="2846"/>
      <c r="J18" s="2846"/>
      <c r="K18" s="2846"/>
      <c r="L18" s="2846"/>
      <c r="N18" s="2168"/>
      <c r="O18" s="2168"/>
      <c r="P18" s="2168"/>
      <c r="Q18" s="2168"/>
      <c r="R18" s="2168"/>
      <c r="S18" s="2168"/>
      <c r="T18" s="2168"/>
    </row>
    <row r="19" spans="1:20">
      <c r="B19" s="1797" t="s">
        <v>204</v>
      </c>
      <c r="C19" s="1798">
        <v>10</v>
      </c>
      <c r="D19" s="1799">
        <v>24</v>
      </c>
      <c r="E19" s="1800">
        <v>9</v>
      </c>
      <c r="F19" s="1801">
        <v>25</v>
      </c>
      <c r="G19" s="1800">
        <v>13</v>
      </c>
      <c r="H19" s="1801">
        <v>21</v>
      </c>
      <c r="I19" s="2825"/>
      <c r="J19" s="2825"/>
      <c r="K19" s="2825"/>
      <c r="L19" s="2825"/>
      <c r="N19" s="2168"/>
      <c r="O19" s="2168"/>
      <c r="P19" s="2168"/>
      <c r="Q19" s="2168"/>
      <c r="R19" s="2168"/>
      <c r="S19" s="2168"/>
      <c r="T19" s="2168"/>
    </row>
    <row r="20" spans="1:20">
      <c r="B20" s="2094" t="s">
        <v>357</v>
      </c>
      <c r="C20" s="2095">
        <v>24</v>
      </c>
      <c r="D20" s="2096"/>
      <c r="E20" s="2089"/>
      <c r="F20" s="2090"/>
      <c r="G20" s="2089">
        <v>16</v>
      </c>
      <c r="H20" s="2090">
        <v>20</v>
      </c>
      <c r="I20" s="1084"/>
      <c r="J20" s="1084"/>
      <c r="K20" s="1084"/>
      <c r="L20" s="1084"/>
      <c r="N20" s="2168"/>
      <c r="O20" s="2168"/>
      <c r="P20" s="2168"/>
      <c r="Q20" s="2168"/>
      <c r="R20" s="2168"/>
      <c r="S20" s="2168"/>
      <c r="T20" s="2168"/>
    </row>
    <row r="21" spans="1:20" ht="15" thickBot="1">
      <c r="B21" s="1804" t="s">
        <v>350</v>
      </c>
      <c r="C21" s="1805"/>
      <c r="D21" s="2097"/>
      <c r="E21" s="2091"/>
      <c r="F21" s="2092"/>
      <c r="G21" s="2091">
        <v>46</v>
      </c>
      <c r="H21" s="2092">
        <v>5</v>
      </c>
      <c r="I21" s="1084"/>
      <c r="J21" s="1084"/>
      <c r="K21" s="1084"/>
      <c r="L21" s="1084"/>
      <c r="N21" s="2168"/>
      <c r="O21" s="2168"/>
      <c r="P21" s="2168"/>
      <c r="Q21" s="2168"/>
      <c r="R21" s="2168"/>
      <c r="S21" s="2168"/>
      <c r="T21" s="2168"/>
    </row>
    <row r="22" spans="1:20">
      <c r="E22" s="595" t="s">
        <v>1370</v>
      </c>
      <c r="N22" s="2168"/>
      <c r="O22" s="2168"/>
      <c r="P22" s="2168"/>
      <c r="Q22" s="2168"/>
      <c r="R22" s="2168"/>
      <c r="S22" s="2168"/>
      <c r="T22" s="2168"/>
    </row>
    <row r="23" spans="1:20">
      <c r="N23" s="2168"/>
      <c r="O23" s="2168"/>
      <c r="P23" s="2168"/>
      <c r="Q23" s="2168"/>
      <c r="R23" s="2168"/>
      <c r="S23" s="2168"/>
      <c r="T23" s="2168"/>
    </row>
    <row r="24" spans="1:20" ht="15" thickBot="1">
      <c r="A24" s="1808" t="s">
        <v>1103</v>
      </c>
      <c r="N24" s="2168"/>
      <c r="O24" s="2168"/>
      <c r="P24" s="2168"/>
      <c r="Q24" s="2168"/>
      <c r="R24" s="2168"/>
      <c r="S24" s="2168"/>
      <c r="T24" s="2168"/>
    </row>
    <row r="25" spans="1:20" ht="28.8">
      <c r="B25" s="5559" t="s">
        <v>602</v>
      </c>
      <c r="C25" s="1789" t="s">
        <v>1102</v>
      </c>
      <c r="D25" s="1790" t="s">
        <v>603</v>
      </c>
      <c r="E25" s="2083" t="s">
        <v>1102</v>
      </c>
      <c r="F25" s="2084" t="s">
        <v>603</v>
      </c>
      <c r="G25" s="2085" t="s">
        <v>1102</v>
      </c>
      <c r="H25" s="2086" t="s">
        <v>603</v>
      </c>
      <c r="I25" s="2844"/>
      <c r="J25" s="2844"/>
      <c r="K25" s="2844"/>
      <c r="L25" s="2844"/>
      <c r="N25" s="2168"/>
      <c r="O25" s="2168"/>
      <c r="P25" s="2168"/>
      <c r="Q25" s="2168"/>
      <c r="R25" s="2168"/>
      <c r="S25" s="2168"/>
      <c r="T25" s="2168"/>
    </row>
    <row r="26" spans="1:20" ht="15" thickBot="1">
      <c r="B26" s="5560"/>
      <c r="C26" s="5561">
        <v>2016</v>
      </c>
      <c r="D26" s="5562"/>
      <c r="E26" s="5563">
        <v>2017</v>
      </c>
      <c r="F26" s="5564"/>
      <c r="G26" s="5565">
        <v>2018</v>
      </c>
      <c r="H26" s="5566"/>
      <c r="I26" s="2845"/>
      <c r="J26" s="2845"/>
      <c r="K26" s="2845"/>
      <c r="L26" s="2845"/>
      <c r="N26" s="2168"/>
      <c r="O26" s="2168"/>
      <c r="P26" s="2168"/>
      <c r="Q26" s="2168"/>
      <c r="R26" s="2168"/>
      <c r="S26" s="2168"/>
      <c r="T26" s="2168"/>
    </row>
    <row r="27" spans="1:20">
      <c r="B27" s="1794" t="s">
        <v>604</v>
      </c>
      <c r="C27" s="1795">
        <v>1</v>
      </c>
      <c r="D27" s="1796">
        <v>103</v>
      </c>
      <c r="E27" s="1795">
        <v>1</v>
      </c>
      <c r="F27" s="1796">
        <v>131</v>
      </c>
      <c r="G27" s="1795">
        <v>1</v>
      </c>
      <c r="H27" s="1796">
        <f>+H7</f>
        <v>133</v>
      </c>
      <c r="I27" s="2846"/>
      <c r="J27" s="2846"/>
      <c r="K27" s="2846"/>
      <c r="L27" s="2846"/>
      <c r="N27" s="2168"/>
      <c r="O27" s="2168"/>
      <c r="P27" s="2168"/>
      <c r="Q27" s="2168"/>
      <c r="R27" s="2168"/>
      <c r="S27" s="2168"/>
      <c r="T27" s="2168"/>
    </row>
    <row r="28" spans="1:20">
      <c r="B28" s="1794" t="s">
        <v>605</v>
      </c>
      <c r="C28" s="1795">
        <v>2</v>
      </c>
      <c r="D28" s="1796">
        <v>76</v>
      </c>
      <c r="E28" s="1795">
        <v>2</v>
      </c>
      <c r="F28" s="1796">
        <v>74</v>
      </c>
      <c r="G28" s="1795">
        <v>2</v>
      </c>
      <c r="H28" s="1796">
        <f>+H8</f>
        <v>67</v>
      </c>
      <c r="I28" s="2846"/>
      <c r="J28" s="2846"/>
      <c r="K28" s="2846"/>
      <c r="L28" s="2846"/>
      <c r="N28" s="2168"/>
      <c r="O28" s="2168"/>
      <c r="P28" s="2168"/>
      <c r="Q28" s="2168"/>
      <c r="R28" s="2168"/>
      <c r="S28" s="2168"/>
      <c r="T28" s="2168"/>
    </row>
    <row r="29" spans="1:20">
      <c r="B29" s="1794" t="s">
        <v>606</v>
      </c>
      <c r="C29" s="1795">
        <v>3</v>
      </c>
      <c r="D29" s="1796">
        <v>64</v>
      </c>
      <c r="E29" s="1795">
        <v>3</v>
      </c>
      <c r="F29" s="1796">
        <v>66</v>
      </c>
      <c r="G29" s="1795">
        <v>4</v>
      </c>
      <c r="H29" s="1796">
        <v>59</v>
      </c>
      <c r="I29" s="2846"/>
      <c r="J29" s="2846"/>
      <c r="K29" s="2846"/>
      <c r="L29" s="2846"/>
      <c r="N29" s="2168"/>
      <c r="O29" s="2168"/>
      <c r="P29" s="2168"/>
      <c r="Q29" s="2168"/>
      <c r="R29" s="2168"/>
      <c r="S29" s="2168"/>
      <c r="T29" s="2168"/>
    </row>
    <row r="30" spans="1:20">
      <c r="B30" s="1794" t="s">
        <v>607</v>
      </c>
      <c r="C30" s="1795">
        <v>5</v>
      </c>
      <c r="D30" s="1796">
        <v>63</v>
      </c>
      <c r="E30" s="1795">
        <v>4</v>
      </c>
      <c r="F30" s="1796">
        <v>55</v>
      </c>
      <c r="G30" s="1795">
        <v>3</v>
      </c>
      <c r="H30" s="1796">
        <v>60</v>
      </c>
      <c r="I30" s="2846"/>
      <c r="J30" s="2846"/>
      <c r="K30" s="2846"/>
      <c r="L30" s="2846"/>
      <c r="N30" s="2168"/>
      <c r="O30" s="2168"/>
      <c r="P30" s="2168"/>
      <c r="Q30" s="2168"/>
      <c r="R30" s="2168"/>
      <c r="S30" s="2168"/>
      <c r="T30" s="2168"/>
    </row>
    <row r="31" spans="1:20">
      <c r="B31" s="1794" t="s">
        <v>610</v>
      </c>
      <c r="C31" s="1795">
        <v>8</v>
      </c>
      <c r="D31" s="1796">
        <v>45</v>
      </c>
      <c r="E31" s="1795">
        <v>5</v>
      </c>
      <c r="F31" s="1796">
        <v>52</v>
      </c>
      <c r="G31" s="1795">
        <v>7</v>
      </c>
      <c r="H31" s="1796">
        <v>46</v>
      </c>
      <c r="I31" s="2846"/>
      <c r="J31" s="2846"/>
      <c r="K31" s="2846"/>
      <c r="L31" s="2846"/>
      <c r="N31" s="2168"/>
      <c r="O31" s="2168"/>
      <c r="P31" s="2168"/>
      <c r="Q31" s="2168"/>
      <c r="R31" s="2168"/>
      <c r="S31" s="2168"/>
      <c r="T31" s="2168"/>
    </row>
    <row r="32" spans="1:20">
      <c r="B32" s="1794" t="s">
        <v>609</v>
      </c>
      <c r="C32" s="1795">
        <v>7</v>
      </c>
      <c r="D32" s="1796">
        <v>46</v>
      </c>
      <c r="E32" s="1795">
        <v>6</v>
      </c>
      <c r="F32" s="1796">
        <v>48</v>
      </c>
      <c r="G32" s="1795">
        <v>8</v>
      </c>
      <c r="H32" s="1796">
        <v>46</v>
      </c>
      <c r="I32" s="2846"/>
      <c r="J32" s="2846"/>
      <c r="K32" s="2846"/>
      <c r="L32" s="2846"/>
      <c r="N32" s="2168"/>
      <c r="O32" s="2168"/>
      <c r="P32" s="2168"/>
      <c r="Q32" s="2168"/>
      <c r="R32" s="2168"/>
      <c r="S32" s="2168"/>
      <c r="T32" s="2168"/>
    </row>
    <row r="33" spans="1:20">
      <c r="B33" s="1794" t="s">
        <v>13</v>
      </c>
      <c r="C33" s="1795">
        <v>9</v>
      </c>
      <c r="D33" s="1796">
        <v>44</v>
      </c>
      <c r="E33" s="1795">
        <v>7</v>
      </c>
      <c r="F33" s="1796">
        <v>42</v>
      </c>
      <c r="G33" s="1795">
        <v>6</v>
      </c>
      <c r="H33" s="1796">
        <v>48</v>
      </c>
      <c r="I33" s="2846"/>
      <c r="J33" s="2846"/>
      <c r="K33" s="2846"/>
      <c r="L33" s="2846"/>
      <c r="N33" s="2168"/>
      <c r="O33" s="2168"/>
      <c r="P33" s="2168"/>
      <c r="Q33" s="2168"/>
      <c r="R33" s="2168"/>
      <c r="S33" s="2168"/>
      <c r="T33" s="2168"/>
    </row>
    <row r="34" spans="1:20">
      <c r="B34" s="1794" t="s">
        <v>608</v>
      </c>
      <c r="C34" s="1795">
        <v>6</v>
      </c>
      <c r="D34" s="1796">
        <v>48</v>
      </c>
      <c r="E34" s="1795">
        <v>8</v>
      </c>
      <c r="F34" s="1796">
        <v>40</v>
      </c>
      <c r="G34" s="1795">
        <v>9</v>
      </c>
      <c r="H34" s="1796">
        <v>42</v>
      </c>
      <c r="I34" s="2846"/>
      <c r="J34" s="2846"/>
      <c r="K34" s="2846"/>
      <c r="L34" s="2846"/>
    </row>
    <row r="35" spans="1:20">
      <c r="B35" s="1794" t="s">
        <v>612</v>
      </c>
      <c r="C35" s="1795">
        <v>12</v>
      </c>
      <c r="D35" s="1796">
        <v>32</v>
      </c>
      <c r="E35" s="1795">
        <v>9</v>
      </c>
      <c r="F35" s="1796">
        <v>35</v>
      </c>
      <c r="G35" s="1795">
        <v>10</v>
      </c>
      <c r="H35" s="1796">
        <v>35</v>
      </c>
      <c r="I35" s="2846"/>
      <c r="J35" s="2846"/>
      <c r="K35" s="2846"/>
      <c r="L35" s="2846"/>
    </row>
    <row r="36" spans="1:20">
      <c r="B36" s="1794" t="s">
        <v>615</v>
      </c>
      <c r="C36" s="1795">
        <v>11</v>
      </c>
      <c r="D36" s="1796">
        <v>38</v>
      </c>
      <c r="E36" s="1795">
        <v>10</v>
      </c>
      <c r="F36" s="1796">
        <v>30</v>
      </c>
      <c r="G36" s="1795">
        <v>11</v>
      </c>
      <c r="H36" s="1796">
        <v>32</v>
      </c>
      <c r="I36" s="2846"/>
      <c r="J36" s="2846"/>
      <c r="K36" s="2846"/>
      <c r="L36" s="2846"/>
    </row>
    <row r="37" spans="1:20">
      <c r="B37" s="1794" t="s">
        <v>1365</v>
      </c>
      <c r="C37" s="1795"/>
      <c r="D37" s="1796"/>
      <c r="E37" s="1795"/>
      <c r="F37" s="1796"/>
      <c r="G37" s="1795">
        <v>13</v>
      </c>
      <c r="H37" s="1796">
        <v>23</v>
      </c>
      <c r="I37" s="2846"/>
      <c r="J37" s="2846"/>
      <c r="K37" s="2846"/>
      <c r="L37" s="2846"/>
    </row>
    <row r="38" spans="1:20">
      <c r="B38" s="1797" t="s">
        <v>204</v>
      </c>
      <c r="C38" s="1798">
        <v>13</v>
      </c>
      <c r="D38" s="1799">
        <v>24</v>
      </c>
      <c r="E38" s="1800">
        <v>11</v>
      </c>
      <c r="F38" s="1801">
        <v>25</v>
      </c>
      <c r="G38" s="1800">
        <v>14</v>
      </c>
      <c r="H38" s="1801">
        <v>21</v>
      </c>
      <c r="I38" s="2825"/>
      <c r="J38" s="2825"/>
      <c r="K38" s="2825"/>
      <c r="L38" s="2825"/>
    </row>
    <row r="39" spans="1:20">
      <c r="B39" s="1794" t="s">
        <v>1104</v>
      </c>
      <c r="C39" s="1809"/>
      <c r="D39" s="1810"/>
      <c r="E39" s="1795">
        <v>12</v>
      </c>
      <c r="F39" s="1796">
        <v>25</v>
      </c>
      <c r="G39" s="1795">
        <v>17</v>
      </c>
      <c r="H39" s="1796">
        <v>14</v>
      </c>
      <c r="I39" s="2846"/>
      <c r="J39" s="2846"/>
      <c r="K39" s="2846"/>
      <c r="L39" s="2846"/>
    </row>
    <row r="40" spans="1:20">
      <c r="B40" s="1794" t="s">
        <v>613</v>
      </c>
      <c r="C40" s="1795">
        <v>4</v>
      </c>
      <c r="D40" s="1796">
        <v>64</v>
      </c>
      <c r="E40" s="1809"/>
      <c r="F40" s="1810"/>
      <c r="G40" s="1809">
        <v>5</v>
      </c>
      <c r="H40" s="1810">
        <v>53</v>
      </c>
      <c r="I40" s="2848"/>
      <c r="J40" s="2848"/>
      <c r="K40" s="2848"/>
      <c r="L40" s="2848"/>
    </row>
    <row r="41" spans="1:20" ht="28.8" customHeight="1">
      <c r="B41" s="1794" t="s">
        <v>614</v>
      </c>
      <c r="C41" s="1795">
        <v>10</v>
      </c>
      <c r="D41" s="1796">
        <v>42</v>
      </c>
      <c r="E41" s="1809"/>
      <c r="F41" s="1810"/>
      <c r="G41" s="1809">
        <v>12</v>
      </c>
      <c r="H41" s="1810">
        <v>25</v>
      </c>
      <c r="I41" s="2848"/>
      <c r="J41" s="2848"/>
      <c r="K41" s="2848"/>
      <c r="L41" s="2848"/>
    </row>
    <row r="42" spans="1:20">
      <c r="B42" s="2094" t="s">
        <v>357</v>
      </c>
      <c r="C42" s="2095">
        <v>37</v>
      </c>
      <c r="D42" s="2096"/>
      <c r="E42" s="2098"/>
      <c r="F42" s="2099"/>
      <c r="G42" s="2098">
        <v>15</v>
      </c>
      <c r="H42" s="2099">
        <v>20</v>
      </c>
      <c r="I42" s="2848"/>
      <c r="J42" s="2848"/>
      <c r="K42" s="2848"/>
      <c r="L42" s="2848"/>
    </row>
    <row r="43" spans="1:20">
      <c r="B43" s="2094" t="s">
        <v>1366</v>
      </c>
      <c r="C43" s="2095"/>
      <c r="D43" s="2096"/>
      <c r="E43" s="2098"/>
      <c r="F43" s="2099"/>
      <c r="G43" s="2098">
        <v>16</v>
      </c>
      <c r="H43" s="2099">
        <v>15</v>
      </c>
      <c r="I43" s="2848"/>
      <c r="J43" s="2848"/>
      <c r="K43" s="2848"/>
      <c r="L43" s="2848"/>
    </row>
    <row r="44" spans="1:20" ht="15" thickBot="1">
      <c r="B44" s="1804" t="s">
        <v>350</v>
      </c>
      <c r="C44" s="1805"/>
      <c r="D44" s="2097"/>
      <c r="E44" s="1806"/>
      <c r="F44" s="1807"/>
      <c r="G44" s="1806">
        <v>38</v>
      </c>
      <c r="H44" s="1807">
        <v>5</v>
      </c>
      <c r="I44" s="2848"/>
      <c r="J44" s="2848"/>
      <c r="K44" s="2848"/>
      <c r="L44" s="2848"/>
    </row>
    <row r="45" spans="1:20">
      <c r="E45" s="595" t="s">
        <v>1370</v>
      </c>
    </row>
    <row r="46" spans="1:20">
      <c r="B46" s="595"/>
    </row>
    <row r="47" spans="1:20" ht="15" thickBot="1">
      <c r="A47" s="1808" t="s">
        <v>1367</v>
      </c>
    </row>
    <row r="48" spans="1:20" ht="14.4" customHeight="1">
      <c r="B48" s="5557" t="s">
        <v>616</v>
      </c>
      <c r="C48" s="5567" t="s">
        <v>1105</v>
      </c>
      <c r="D48" s="5568"/>
      <c r="E48" s="5576" t="s">
        <v>1105</v>
      </c>
      <c r="F48" s="5577"/>
      <c r="G48" s="5572" t="s">
        <v>1105</v>
      </c>
      <c r="H48" s="5573"/>
      <c r="I48" s="2844"/>
      <c r="J48" s="2844"/>
      <c r="K48" s="2844"/>
      <c r="L48" s="2844"/>
    </row>
    <row r="49" spans="2:12" ht="15" thickBot="1">
      <c r="B49" s="5558"/>
      <c r="C49" s="5569">
        <v>2016</v>
      </c>
      <c r="D49" s="5570"/>
      <c r="E49" s="5578">
        <v>2017</v>
      </c>
      <c r="F49" s="5579"/>
      <c r="G49" s="5574">
        <v>2018</v>
      </c>
      <c r="H49" s="5575"/>
      <c r="I49" s="2844"/>
      <c r="J49" s="2844"/>
      <c r="K49" s="2844"/>
      <c r="L49" s="2844"/>
    </row>
    <row r="50" spans="2:12">
      <c r="B50" s="1811" t="s">
        <v>16</v>
      </c>
      <c r="C50" s="5551">
        <v>1</v>
      </c>
      <c r="D50" s="5552"/>
      <c r="E50" s="5551">
        <v>1</v>
      </c>
      <c r="F50" s="5552"/>
      <c r="G50" s="5551">
        <v>1</v>
      </c>
      <c r="H50" s="5552"/>
      <c r="I50" s="465"/>
      <c r="J50" s="465"/>
      <c r="K50" s="465"/>
      <c r="L50" s="465"/>
    </row>
    <row r="51" spans="2:12">
      <c r="B51" s="1812" t="s">
        <v>10</v>
      </c>
      <c r="C51" s="5551">
        <v>4</v>
      </c>
      <c r="D51" s="5552"/>
      <c r="E51" s="5551">
        <v>2</v>
      </c>
      <c r="F51" s="5552"/>
      <c r="G51" s="5551">
        <v>2</v>
      </c>
      <c r="H51" s="5552"/>
      <c r="I51" s="465"/>
      <c r="J51" s="465"/>
      <c r="K51" s="465"/>
      <c r="L51" s="465"/>
    </row>
    <row r="52" spans="2:12">
      <c r="B52" s="1812" t="s">
        <v>6</v>
      </c>
      <c r="C52" s="5551">
        <v>3</v>
      </c>
      <c r="D52" s="5552"/>
      <c r="E52" s="5551">
        <v>3</v>
      </c>
      <c r="F52" s="5552"/>
      <c r="G52" s="5551">
        <v>4</v>
      </c>
      <c r="H52" s="5552"/>
      <c r="I52" s="465"/>
      <c r="J52" s="465"/>
      <c r="K52" s="465"/>
      <c r="L52" s="465"/>
    </row>
    <row r="53" spans="2:12">
      <c r="B53" s="1812" t="s">
        <v>618</v>
      </c>
      <c r="C53" s="5551">
        <v>5</v>
      </c>
      <c r="D53" s="5552"/>
      <c r="E53" s="5551">
        <v>4</v>
      </c>
      <c r="F53" s="5552"/>
      <c r="G53" s="5551">
        <v>5</v>
      </c>
      <c r="H53" s="5552"/>
      <c r="I53" s="465"/>
      <c r="J53" s="465"/>
      <c r="K53" s="465"/>
      <c r="L53" s="465"/>
    </row>
    <row r="54" spans="2:12">
      <c r="B54" s="1812" t="s">
        <v>11</v>
      </c>
      <c r="C54" s="5551">
        <v>6</v>
      </c>
      <c r="D54" s="5552"/>
      <c r="E54" s="5551">
        <v>5</v>
      </c>
      <c r="F54" s="5552"/>
      <c r="G54" s="5551">
        <v>6</v>
      </c>
      <c r="H54" s="5552"/>
      <c r="I54" s="465"/>
      <c r="J54" s="465"/>
      <c r="K54" s="465"/>
      <c r="L54" s="465"/>
    </row>
    <row r="55" spans="2:12">
      <c r="B55" s="1812" t="s">
        <v>24</v>
      </c>
      <c r="C55" s="5551">
        <v>7</v>
      </c>
      <c r="D55" s="5552"/>
      <c r="E55" s="5551">
        <v>6</v>
      </c>
      <c r="F55" s="5552"/>
      <c r="G55" s="5551">
        <v>7</v>
      </c>
      <c r="H55" s="5552"/>
      <c r="I55" s="465"/>
      <c r="J55" s="465"/>
      <c r="K55" s="465"/>
      <c r="L55" s="465"/>
    </row>
    <row r="56" spans="2:12">
      <c r="B56" s="1813" t="s">
        <v>9</v>
      </c>
      <c r="C56" s="5553">
        <v>11</v>
      </c>
      <c r="D56" s="5554"/>
      <c r="E56" s="5555">
        <v>8</v>
      </c>
      <c r="F56" s="5556"/>
      <c r="G56" s="5555">
        <v>8</v>
      </c>
      <c r="H56" s="5556"/>
      <c r="I56" s="2849"/>
      <c r="J56" s="2849"/>
      <c r="K56" s="2849"/>
      <c r="L56" s="2849"/>
    </row>
    <row r="57" spans="2:12">
      <c r="B57" s="1812" t="s">
        <v>619</v>
      </c>
      <c r="C57" s="5551">
        <v>8</v>
      </c>
      <c r="D57" s="5552"/>
      <c r="E57" s="5551">
        <v>7</v>
      </c>
      <c r="F57" s="5552"/>
      <c r="G57" s="5551">
        <v>9</v>
      </c>
      <c r="H57" s="5552"/>
      <c r="I57" s="465"/>
      <c r="J57" s="465"/>
      <c r="K57" s="465"/>
      <c r="L57" s="465"/>
    </row>
    <row r="58" spans="2:12">
      <c r="B58" s="1812" t="s">
        <v>621</v>
      </c>
      <c r="C58" s="5551">
        <v>10</v>
      </c>
      <c r="D58" s="5552"/>
      <c r="E58" s="5551">
        <v>9</v>
      </c>
      <c r="F58" s="5552"/>
      <c r="G58" s="5551">
        <v>10</v>
      </c>
      <c r="H58" s="5552"/>
      <c r="I58" s="465"/>
      <c r="J58" s="465"/>
      <c r="K58" s="465"/>
      <c r="L58" s="465"/>
    </row>
    <row r="59" spans="2:12">
      <c r="B59" s="1812" t="s">
        <v>620</v>
      </c>
      <c r="C59" s="5551">
        <v>9</v>
      </c>
      <c r="D59" s="5552"/>
      <c r="E59" s="5551"/>
      <c r="F59" s="5552"/>
      <c r="G59" s="5551">
        <v>11</v>
      </c>
      <c r="H59" s="5552"/>
      <c r="I59" s="465"/>
      <c r="J59" s="465"/>
      <c r="K59" s="465"/>
      <c r="L59" s="465"/>
    </row>
    <row r="60" spans="2:12">
      <c r="B60" s="1812" t="s">
        <v>18</v>
      </c>
      <c r="C60" s="5551"/>
      <c r="D60" s="5552"/>
      <c r="E60" s="5551"/>
      <c r="F60" s="5552"/>
      <c r="G60" s="5551">
        <v>12</v>
      </c>
      <c r="H60" s="5552"/>
      <c r="I60" s="465"/>
      <c r="J60" s="465"/>
      <c r="K60" s="465"/>
      <c r="L60" s="465"/>
    </row>
    <row r="61" spans="2:12">
      <c r="B61" s="1812" t="s">
        <v>1368</v>
      </c>
      <c r="C61" s="5551"/>
      <c r="D61" s="5552"/>
      <c r="E61" s="5551"/>
      <c r="F61" s="5552"/>
      <c r="G61" s="5551">
        <v>13</v>
      </c>
      <c r="H61" s="5552"/>
      <c r="I61" s="465"/>
      <c r="J61" s="465"/>
      <c r="K61" s="465"/>
      <c r="L61" s="465"/>
    </row>
    <row r="62" spans="2:12">
      <c r="B62" s="1812" t="s">
        <v>1369</v>
      </c>
      <c r="C62" s="5551"/>
      <c r="D62" s="5552"/>
      <c r="E62" s="5551"/>
      <c r="F62" s="5552"/>
      <c r="G62" s="5551">
        <v>14</v>
      </c>
      <c r="H62" s="5552"/>
      <c r="I62" s="465"/>
      <c r="J62" s="465"/>
      <c r="K62" s="465"/>
      <c r="L62" s="465"/>
    </row>
    <row r="63" spans="2:12">
      <c r="B63" s="1814" t="s">
        <v>19</v>
      </c>
      <c r="C63" s="5551"/>
      <c r="D63" s="5552"/>
      <c r="E63" s="5551">
        <v>10</v>
      </c>
      <c r="F63" s="5552"/>
      <c r="G63" s="5551">
        <v>15</v>
      </c>
      <c r="H63" s="5552"/>
      <c r="I63" s="465"/>
      <c r="J63" s="465"/>
      <c r="K63" s="465"/>
      <c r="L63" s="465"/>
    </row>
    <row r="64" spans="2:12" ht="15" thickBot="1">
      <c r="B64" s="1815" t="s">
        <v>617</v>
      </c>
      <c r="C64" s="5549">
        <v>2</v>
      </c>
      <c r="D64" s="5550"/>
      <c r="E64" s="5549"/>
      <c r="F64" s="5550"/>
      <c r="G64" s="5549">
        <v>3</v>
      </c>
      <c r="H64" s="5550"/>
      <c r="I64" s="465"/>
      <c r="J64" s="465"/>
      <c r="K64" s="465"/>
      <c r="L64" s="465"/>
    </row>
    <row r="65" spans="5:5">
      <c r="E65" s="595" t="s">
        <v>1370</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42" orientation="portrait"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684" bestFit="1" customWidth="1"/>
    <col min="2" max="2" width="24.88671875" style="684" bestFit="1" customWidth="1"/>
    <col min="3" max="3" width="14.109375" style="684" bestFit="1" customWidth="1"/>
    <col min="4" max="17" width="16.109375" style="682" customWidth="1"/>
    <col min="18" max="18" width="15" style="682" bestFit="1" customWidth="1"/>
    <col min="19" max="19" width="15.6640625" style="682" customWidth="1"/>
    <col min="20" max="20" width="23.6640625" style="682" bestFit="1" customWidth="1"/>
    <col min="21" max="21" width="23.109375" style="682" bestFit="1" customWidth="1"/>
    <col min="22" max="23" width="11.44140625" style="682"/>
    <col min="24" max="16384" width="11.44140625" style="161"/>
  </cols>
  <sheetData>
    <row r="1" spans="1:23" hidden="1"/>
    <row r="2" spans="1:23" hidden="1"/>
    <row r="3" spans="1:23" s="1286" customFormat="1" ht="23.4">
      <c r="A3" s="706" t="s">
        <v>788</v>
      </c>
      <c r="B3" s="384"/>
      <c r="C3" s="384"/>
      <c r="D3" s="681"/>
      <c r="E3" s="681"/>
      <c r="F3" s="681"/>
      <c r="G3" s="681"/>
      <c r="H3" s="681"/>
      <c r="I3" s="681"/>
      <c r="J3" s="681"/>
      <c r="K3" s="681"/>
      <c r="L3" s="681"/>
      <c r="M3" s="681"/>
      <c r="N3" s="681"/>
      <c r="O3" s="681"/>
      <c r="P3" s="681"/>
      <c r="Q3" s="681"/>
      <c r="R3" s="681"/>
      <c r="S3" s="681"/>
      <c r="T3" s="681"/>
      <c r="U3" s="681"/>
      <c r="V3" s="681"/>
      <c r="W3" s="681"/>
    </row>
    <row r="4" spans="1:23" s="1286" customFormat="1" ht="23.4">
      <c r="A4" s="706" t="s">
        <v>789</v>
      </c>
      <c r="B4" s="384"/>
      <c r="C4" s="384"/>
      <c r="D4" s="680"/>
      <c r="E4" s="680"/>
      <c r="F4" s="680"/>
      <c r="G4" s="680"/>
      <c r="H4" s="680"/>
      <c r="I4" s="680"/>
      <c r="J4" s="680"/>
      <c r="K4" s="680"/>
      <c r="L4" s="680"/>
      <c r="M4" s="680"/>
      <c r="N4" s="680"/>
      <c r="O4" s="680"/>
      <c r="P4" s="680"/>
      <c r="Q4" s="680"/>
      <c r="R4" s="680"/>
      <c r="S4" s="681"/>
      <c r="T4" s="681"/>
      <c r="U4" s="681"/>
      <c r="V4" s="681"/>
      <c r="W4" s="681"/>
    </row>
    <row r="5" spans="1:23">
      <c r="A5" s="1290"/>
      <c r="F5" s="687"/>
      <c r="I5" s="687"/>
      <c r="K5" s="688"/>
      <c r="M5" s="687"/>
    </row>
    <row r="6" spans="1:23" ht="15" thickBot="1">
      <c r="A6" s="1290"/>
      <c r="D6" s="1313">
        <v>0</v>
      </c>
      <c r="E6" s="1313">
        <v>0</v>
      </c>
      <c r="F6" s="1314">
        <v>0</v>
      </c>
      <c r="G6" s="1313">
        <v>0</v>
      </c>
      <c r="H6" s="1313">
        <v>0</v>
      </c>
      <c r="I6" s="1314">
        <v>0</v>
      </c>
      <c r="J6" s="1313">
        <v>1</v>
      </c>
      <c r="K6" s="1315">
        <v>0.13</v>
      </c>
      <c r="L6" s="1315">
        <v>5.5E-2</v>
      </c>
      <c r="M6" s="1314">
        <v>2.3E-2</v>
      </c>
      <c r="N6" s="1313">
        <v>0</v>
      </c>
      <c r="O6" s="1313">
        <v>0</v>
      </c>
      <c r="P6" s="1314">
        <v>0</v>
      </c>
      <c r="Q6" s="1313">
        <v>0</v>
      </c>
      <c r="R6" s="689"/>
    </row>
    <row r="7" spans="1:23" ht="42" thickBot="1">
      <c r="A7" s="679" t="s">
        <v>196</v>
      </c>
      <c r="B7" s="678" t="s">
        <v>480</v>
      </c>
      <c r="C7" s="679" t="s">
        <v>481</v>
      </c>
      <c r="D7" s="1266" t="s">
        <v>790</v>
      </c>
      <c r="E7" s="1267" t="s">
        <v>791</v>
      </c>
      <c r="F7" s="1267" t="s">
        <v>792</v>
      </c>
      <c r="G7" s="1267" t="s">
        <v>793</v>
      </c>
      <c r="H7" s="1267" t="s">
        <v>794</v>
      </c>
      <c r="I7" s="1267" t="s">
        <v>795</v>
      </c>
      <c r="J7" s="1268" t="s">
        <v>796</v>
      </c>
      <c r="K7" s="1267" t="s">
        <v>797</v>
      </c>
      <c r="L7" s="1267" t="s">
        <v>798</v>
      </c>
      <c r="M7" s="1267" t="s">
        <v>799</v>
      </c>
      <c r="N7" s="1267" t="s">
        <v>800</v>
      </c>
      <c r="O7" s="1267" t="s">
        <v>801</v>
      </c>
      <c r="P7" s="1267" t="s">
        <v>802</v>
      </c>
      <c r="Q7" s="1269" t="s">
        <v>803</v>
      </c>
      <c r="R7" s="695" t="s">
        <v>804</v>
      </c>
      <c r="S7" s="1311" t="s">
        <v>805</v>
      </c>
      <c r="T7" s="695" t="s">
        <v>806</v>
      </c>
    </row>
    <row r="8" spans="1:23">
      <c r="A8" s="705">
        <v>2007</v>
      </c>
      <c r="B8" s="1289" t="s">
        <v>482</v>
      </c>
      <c r="C8" s="705" t="s">
        <v>204</v>
      </c>
      <c r="D8" s="697">
        <v>63304.648598650187</v>
      </c>
      <c r="E8" s="697">
        <v>24104.53039399672</v>
      </c>
      <c r="F8" s="697">
        <v>2184152.4698238345</v>
      </c>
      <c r="G8" s="697">
        <v>42628.00954622835</v>
      </c>
      <c r="H8" s="697">
        <v>764111.63758787757</v>
      </c>
      <c r="I8" s="697">
        <v>1084223.4883242128</v>
      </c>
      <c r="J8" s="698">
        <v>189925.9604709126</v>
      </c>
      <c r="K8" s="697">
        <v>1108338.1546763675</v>
      </c>
      <c r="L8" s="697">
        <v>593388.125262646</v>
      </c>
      <c r="M8" s="697">
        <v>2631549.1472298275</v>
      </c>
      <c r="N8" s="697">
        <v>648462.94843365275</v>
      </c>
      <c r="O8" s="697">
        <v>411950.70003383385</v>
      </c>
      <c r="P8" s="697">
        <v>293417.4850611632</v>
      </c>
      <c r="Q8" s="699">
        <v>563088.03688356921</v>
      </c>
      <c r="R8" s="700">
        <v>10602645.342326771</v>
      </c>
      <c r="S8" s="1312">
        <f t="shared" ref="S8:S17" si="0">((D8*$D$6)+(E8*$E$6)+(F8*$F$6)+(G8*$G$6)+(H8*$H$6)+(I8*$I$6)+(J8)+(K8*$K$6)+(L8*$L$6)+(M8*$M$6)+(N8*$N$6)+(O8*$O$6)+(P8*$P$6)+(Q8*$Q$6))/R8</f>
        <v>4.0289181054586544E-2</v>
      </c>
      <c r="T8" s="700" t="s">
        <v>807</v>
      </c>
    </row>
    <row r="9" spans="1:23">
      <c r="A9" s="705">
        <v>2008</v>
      </c>
      <c r="B9" s="1289" t="s">
        <v>482</v>
      </c>
      <c r="C9" s="705" t="s">
        <v>204</v>
      </c>
      <c r="D9" s="697">
        <v>105673.87866689188</v>
      </c>
      <c r="E9" s="697">
        <v>35492.0641490165</v>
      </c>
      <c r="F9" s="697">
        <v>2668891.7598498138</v>
      </c>
      <c r="G9" s="697">
        <v>47873.823554933813</v>
      </c>
      <c r="H9" s="697">
        <v>926010.16842142714</v>
      </c>
      <c r="I9" s="697">
        <v>1410014.9163597175</v>
      </c>
      <c r="J9" s="698">
        <v>226939.67722284907</v>
      </c>
      <c r="K9" s="697">
        <v>1299943.4792724028</v>
      </c>
      <c r="L9" s="697">
        <v>668756.97370611504</v>
      </c>
      <c r="M9" s="697">
        <v>2933066.6986841024</v>
      </c>
      <c r="N9" s="697">
        <v>816506.9814007642</v>
      </c>
      <c r="O9" s="697">
        <v>527273.75162840798</v>
      </c>
      <c r="P9" s="697">
        <v>344614.02768483607</v>
      </c>
      <c r="Q9" s="699">
        <v>704171.03899376863</v>
      </c>
      <c r="R9" s="700">
        <v>12715229.239595046</v>
      </c>
      <c r="S9" s="1312">
        <f t="shared" si="0"/>
        <v>3.9336648024739948E-2</v>
      </c>
      <c r="T9" s="700" t="s">
        <v>807</v>
      </c>
    </row>
    <row r="10" spans="1:23">
      <c r="A10" s="705">
        <v>2009</v>
      </c>
      <c r="B10" s="1289" t="s">
        <v>482</v>
      </c>
      <c r="C10" s="705" t="s">
        <v>204</v>
      </c>
      <c r="D10" s="701">
        <v>93700.083159183298</v>
      </c>
      <c r="E10" s="697">
        <v>41194.213065190488</v>
      </c>
      <c r="F10" s="697">
        <v>2690342.6684163334</v>
      </c>
      <c r="G10" s="697">
        <v>45408.928936460754</v>
      </c>
      <c r="H10" s="697">
        <v>1060621.1667419525</v>
      </c>
      <c r="I10" s="697">
        <v>1313710.523455644</v>
      </c>
      <c r="J10" s="698">
        <v>263723.70149069594</v>
      </c>
      <c r="K10" s="697">
        <v>1250578.1900201831</v>
      </c>
      <c r="L10" s="697">
        <v>764937.99243963312</v>
      </c>
      <c r="M10" s="697">
        <v>2994965.2157189008</v>
      </c>
      <c r="N10" s="697">
        <v>916380.6845303158</v>
      </c>
      <c r="O10" s="697">
        <v>541481.49464957684</v>
      </c>
      <c r="P10" s="697">
        <v>332993.60277584253</v>
      </c>
      <c r="Q10" s="699">
        <v>627736.78216992517</v>
      </c>
      <c r="R10" s="700">
        <v>12937775.247569835</v>
      </c>
      <c r="S10" s="1312">
        <f t="shared" si="0"/>
        <v>4.1526046438312446E-2</v>
      </c>
      <c r="T10" s="700" t="s">
        <v>807</v>
      </c>
    </row>
    <row r="11" spans="1:23">
      <c r="A11" s="705">
        <v>2010</v>
      </c>
      <c r="B11" s="1289" t="s">
        <v>482</v>
      </c>
      <c r="C11" s="705" t="s">
        <v>204</v>
      </c>
      <c r="D11" s="701">
        <v>115305.68854279626</v>
      </c>
      <c r="E11" s="697">
        <v>35147.049442968659</v>
      </c>
      <c r="F11" s="697">
        <v>2981674.1529837204</v>
      </c>
      <c r="G11" s="697">
        <v>129136.61519497237</v>
      </c>
      <c r="H11" s="697">
        <v>1291718.7887568611</v>
      </c>
      <c r="I11" s="697">
        <v>1375057.505375976</v>
      </c>
      <c r="J11" s="698">
        <v>296427.69033150922</v>
      </c>
      <c r="K11" s="697">
        <v>1391185.4237446371</v>
      </c>
      <c r="L11" s="697">
        <v>846555.19517326402</v>
      </c>
      <c r="M11" s="697">
        <v>3525811.1575769889</v>
      </c>
      <c r="N11" s="697">
        <v>1195135.0194112053</v>
      </c>
      <c r="O11" s="697">
        <v>557066.94952930999</v>
      </c>
      <c r="P11" s="697">
        <v>394725.82433861046</v>
      </c>
      <c r="Q11" s="699">
        <v>568473.524202795</v>
      </c>
      <c r="R11" s="700">
        <v>14703420.584605612</v>
      </c>
      <c r="S11" s="1312">
        <f t="shared" si="0"/>
        <v>4.1142534439263502E-2</v>
      </c>
      <c r="T11" s="700" t="s">
        <v>807</v>
      </c>
    </row>
    <row r="12" spans="1:23">
      <c r="A12" s="705">
        <v>2011</v>
      </c>
      <c r="B12" s="1289" t="s">
        <v>482</v>
      </c>
      <c r="C12" s="705" t="s">
        <v>204</v>
      </c>
      <c r="D12" s="701">
        <v>146976.02810252312</v>
      </c>
      <c r="E12" s="697">
        <v>53608.386727943507</v>
      </c>
      <c r="F12" s="697">
        <v>3293923.8514540093</v>
      </c>
      <c r="G12" s="697">
        <v>161385.46901657694</v>
      </c>
      <c r="H12" s="697">
        <v>1876498.3087501854</v>
      </c>
      <c r="I12" s="697">
        <v>1709709.4791067545</v>
      </c>
      <c r="J12" s="698">
        <v>337341.43208725739</v>
      </c>
      <c r="K12" s="697">
        <v>1273153.659912677</v>
      </c>
      <c r="L12" s="697">
        <v>968769.74085154769</v>
      </c>
      <c r="M12" s="697">
        <v>3733726.4632581929</v>
      </c>
      <c r="N12" s="697">
        <v>1276257.6261392736</v>
      </c>
      <c r="O12" s="697">
        <v>544440.27698331594</v>
      </c>
      <c r="P12" s="697">
        <v>416939.56359771074</v>
      </c>
      <c r="Q12" s="699">
        <v>718793.86953845387</v>
      </c>
      <c r="R12" s="700">
        <v>16511524.155526428</v>
      </c>
      <c r="S12" s="1312">
        <f t="shared" si="0"/>
        <v>3.8882506922463464E-2</v>
      </c>
      <c r="T12" s="700" t="s">
        <v>807</v>
      </c>
    </row>
    <row r="13" spans="1:23">
      <c r="A13" s="705">
        <v>2012</v>
      </c>
      <c r="B13" s="1289" t="s">
        <v>482</v>
      </c>
      <c r="C13" s="705" t="s">
        <v>204</v>
      </c>
      <c r="D13" s="701">
        <v>162234.12885982631</v>
      </c>
      <c r="E13" s="697">
        <v>45592.825352620363</v>
      </c>
      <c r="F13" s="697">
        <v>3455632.8913340177</v>
      </c>
      <c r="G13" s="697">
        <v>207094.59527694288</v>
      </c>
      <c r="H13" s="697">
        <v>2173212.3191676028</v>
      </c>
      <c r="I13" s="697">
        <v>1673389.9081846306</v>
      </c>
      <c r="J13" s="698">
        <v>421801.52447812504</v>
      </c>
      <c r="K13" s="697">
        <v>1411272.8213112408</v>
      </c>
      <c r="L13" s="697">
        <v>1203331.1933460147</v>
      </c>
      <c r="M13" s="697">
        <v>4361714.2838389631</v>
      </c>
      <c r="N13" s="697">
        <v>1865435.7054172438</v>
      </c>
      <c r="O13" s="697">
        <v>617570.53137664089</v>
      </c>
      <c r="P13" s="697">
        <v>483902.4057217355</v>
      </c>
      <c r="Q13" s="699">
        <v>754931.54648980382</v>
      </c>
      <c r="R13" s="700">
        <v>18837116.680155415</v>
      </c>
      <c r="S13" s="1312">
        <f t="shared" si="0"/>
        <v>4.0970688270140602E-2</v>
      </c>
      <c r="T13" s="700" t="s">
        <v>807</v>
      </c>
    </row>
    <row r="14" spans="1:23">
      <c r="A14" s="705">
        <v>2013</v>
      </c>
      <c r="B14" s="1289" t="s">
        <v>482</v>
      </c>
      <c r="C14" s="705" t="s">
        <v>204</v>
      </c>
      <c r="D14" s="701">
        <v>182083.28260201751</v>
      </c>
      <c r="E14" s="697">
        <v>63056.975053988615</v>
      </c>
      <c r="F14" s="697">
        <v>3745899.3567081084</v>
      </c>
      <c r="G14" s="697">
        <v>194605.91910922417</v>
      </c>
      <c r="H14" s="697">
        <v>2445471.9317070809</v>
      </c>
      <c r="I14" s="697">
        <v>1962850.2834356935</v>
      </c>
      <c r="J14" s="698">
        <v>483549.37214129994</v>
      </c>
      <c r="K14" s="697">
        <v>1560468.8603990532</v>
      </c>
      <c r="L14" s="697">
        <v>1114414.324532182</v>
      </c>
      <c r="M14" s="697">
        <v>4623751.4739644704</v>
      </c>
      <c r="N14" s="697">
        <v>2478290.0830926048</v>
      </c>
      <c r="O14" s="697">
        <v>662369.858096121</v>
      </c>
      <c r="P14" s="697">
        <v>577185.21222364204</v>
      </c>
      <c r="Q14" s="699">
        <v>846262.77272465639</v>
      </c>
      <c r="R14" s="700">
        <v>20940259.705790155</v>
      </c>
      <c r="S14" s="1312">
        <f t="shared" si="0"/>
        <v>4.0785043153379712E-2</v>
      </c>
      <c r="T14" s="700" t="s">
        <v>807</v>
      </c>
    </row>
    <row r="15" spans="1:23">
      <c r="A15" s="705">
        <v>2014</v>
      </c>
      <c r="B15" s="1289" t="s">
        <v>482</v>
      </c>
      <c r="C15" s="705" t="s">
        <v>204</v>
      </c>
      <c r="D15" s="701">
        <v>201701.86067606922</v>
      </c>
      <c r="E15" s="697">
        <v>75122.85831143496</v>
      </c>
      <c r="F15" s="697">
        <v>4206064.3091817461</v>
      </c>
      <c r="G15" s="697">
        <v>256898.13690860878</v>
      </c>
      <c r="H15" s="697">
        <v>2761543.2756389752</v>
      </c>
      <c r="I15" s="697">
        <v>2026124.6257945842</v>
      </c>
      <c r="J15" s="698">
        <v>535769.95107360627</v>
      </c>
      <c r="K15" s="697">
        <v>1723141.2900961041</v>
      </c>
      <c r="L15" s="697">
        <v>1299206.5542834455</v>
      </c>
      <c r="M15" s="697">
        <v>5144752.7022950761</v>
      </c>
      <c r="N15" s="697">
        <v>2528139.2211955735</v>
      </c>
      <c r="O15" s="697">
        <v>697290.1488463392</v>
      </c>
      <c r="P15" s="697">
        <v>608290.24872891046</v>
      </c>
      <c r="Q15" s="699">
        <v>933273.97287819465</v>
      </c>
      <c r="R15" s="700">
        <v>22997319.155908685</v>
      </c>
      <c r="S15" s="1312">
        <f t="shared" si="0"/>
        <v>4.1290203653172555E-2</v>
      </c>
      <c r="T15" s="700" t="s">
        <v>807</v>
      </c>
    </row>
    <row r="16" spans="1:23">
      <c r="A16" s="705">
        <v>2015</v>
      </c>
      <c r="B16" s="1289" t="s">
        <v>482</v>
      </c>
      <c r="C16" s="705" t="s">
        <v>204</v>
      </c>
      <c r="D16" s="702">
        <v>322923.65799778036</v>
      </c>
      <c r="E16" s="703">
        <v>73890.363824791493</v>
      </c>
      <c r="F16" s="703">
        <v>4349039.1971345376</v>
      </c>
      <c r="G16" s="703">
        <v>317157.82712235767</v>
      </c>
      <c r="H16" s="703">
        <v>2427018.9998156535</v>
      </c>
      <c r="I16" s="703">
        <v>1865957.0935885832</v>
      </c>
      <c r="J16" s="703">
        <v>552811.99787082756</v>
      </c>
      <c r="K16" s="703">
        <v>1595006.4392276648</v>
      </c>
      <c r="L16" s="703">
        <v>1294102.8548831502</v>
      </c>
      <c r="M16" s="703">
        <v>4799443.2048693374</v>
      </c>
      <c r="N16" s="703">
        <v>3405247.7100365749</v>
      </c>
      <c r="O16" s="703">
        <v>782431.16900367581</v>
      </c>
      <c r="P16" s="703">
        <v>690671.08777526126</v>
      </c>
      <c r="Q16" s="704">
        <v>756700.42807353497</v>
      </c>
      <c r="R16" s="700">
        <v>23232402.031223733</v>
      </c>
      <c r="S16" s="1312">
        <f t="shared" si="0"/>
        <v>4.0535011594381741E-2</v>
      </c>
      <c r="T16" s="700" t="s">
        <v>807</v>
      </c>
    </row>
    <row r="17" spans="1:24">
      <c r="A17" s="705">
        <v>2016</v>
      </c>
      <c r="B17" s="705" t="s">
        <v>482</v>
      </c>
      <c r="C17" s="705" t="s">
        <v>204</v>
      </c>
      <c r="D17" s="702">
        <v>375542.99614872306</v>
      </c>
      <c r="E17" s="703">
        <v>95242.390090242974</v>
      </c>
      <c r="F17" s="703">
        <v>4290389.2548484309</v>
      </c>
      <c r="G17" s="703">
        <v>332798.41485854448</v>
      </c>
      <c r="H17" s="703">
        <v>2745505.1569721168</v>
      </c>
      <c r="I17" s="703">
        <v>1641091.2412359775</v>
      </c>
      <c r="J17" s="703">
        <v>551461.33182469895</v>
      </c>
      <c r="K17" s="703">
        <v>1642844.2191815914</v>
      </c>
      <c r="L17" s="703">
        <v>1316902.2364554824</v>
      </c>
      <c r="M17" s="703">
        <v>4418107.1254909914</v>
      </c>
      <c r="N17" s="703">
        <v>3523725.9993655756</v>
      </c>
      <c r="O17" s="703">
        <v>809724.4944579791</v>
      </c>
      <c r="P17" s="703">
        <v>688969.36468537385</v>
      </c>
      <c r="Q17" s="704">
        <v>796382.97197872889</v>
      </c>
      <c r="R17" s="700">
        <v>23228687.19759446</v>
      </c>
      <c r="S17" s="1312">
        <f t="shared" si="0"/>
        <v>4.0427474838392936E-2</v>
      </c>
      <c r="T17" s="700" t="s">
        <v>808</v>
      </c>
      <c r="U17" s="690"/>
    </row>
    <row r="18" spans="1:24" s="1287" customFormat="1">
      <c r="A18" s="1115">
        <v>2017</v>
      </c>
      <c r="B18" s="1115" t="s">
        <v>482</v>
      </c>
      <c r="C18" s="1115" t="s">
        <v>204</v>
      </c>
      <c r="D18" s="1116">
        <v>423957.66239965986</v>
      </c>
      <c r="E18" s="1117">
        <v>123263.70164313466</v>
      </c>
      <c r="F18" s="1117">
        <v>4338616.7594407769</v>
      </c>
      <c r="G18" s="1117">
        <v>352413.33568882546</v>
      </c>
      <c r="H18" s="1117">
        <v>2623429.2539050714</v>
      </c>
      <c r="I18" s="1117">
        <v>1553705.3348553979</v>
      </c>
      <c r="J18" s="1117">
        <v>586293.03526271228</v>
      </c>
      <c r="K18" s="1117">
        <v>1671136.9249244421</v>
      </c>
      <c r="L18" s="1117">
        <v>1516891.7767089892</v>
      </c>
      <c r="M18" s="1117">
        <v>4884860.7396037336</v>
      </c>
      <c r="N18" s="1117">
        <v>3897779.6952470392</v>
      </c>
      <c r="O18" s="1117">
        <v>889860.99662378093</v>
      </c>
      <c r="P18" s="1117">
        <v>765322.25560926087</v>
      </c>
      <c r="Q18" s="1118">
        <v>799066.42790453043</v>
      </c>
      <c r="R18" s="1119">
        <f>SUM(D18:Q18)</f>
        <v>24426597.899817355</v>
      </c>
      <c r="S18" s="1310">
        <f>(((D18*$D$6)+(E18*$E$6)+(F18*$F$6)+(G18*$G$6)+(H18*$H$6)+(I18*$I$6)+(J18)+(K18*$K$6)+(L18*$L$6)+(M18*$M$6)+(N18*$N$6)+(O18*$O$6)+(P18*$P$6)+(Q18*$Q$6))/R18)-0.0005</f>
        <v>4.0411210162436997E-2</v>
      </c>
      <c r="T18" s="1119" t="s">
        <v>1048</v>
      </c>
      <c r="U18" s="5580" t="s">
        <v>1045</v>
      </c>
      <c r="V18" s="5580"/>
      <c r="W18" s="5580"/>
    </row>
    <row r="19" spans="1:24">
      <c r="A19" s="1108">
        <v>2018</v>
      </c>
      <c r="B19" s="1108" t="s">
        <v>482</v>
      </c>
      <c r="C19" s="1108" t="s">
        <v>204</v>
      </c>
      <c r="D19" s="1110">
        <v>423957.66239965986</v>
      </c>
      <c r="E19" s="1111">
        <v>123263.70164313466</v>
      </c>
      <c r="F19" s="1111">
        <v>4338616.7594407769</v>
      </c>
      <c r="G19" s="1111">
        <v>352413.33568882546</v>
      </c>
      <c r="H19" s="1111">
        <v>2623429.2539050714</v>
      </c>
      <c r="I19" s="1111">
        <v>1553705.3348553979</v>
      </c>
      <c r="J19" s="1111">
        <v>586293.03526271228</v>
      </c>
      <c r="K19" s="1111">
        <v>1671136.9249244421</v>
      </c>
      <c r="L19" s="1111">
        <v>1516891.7767089892</v>
      </c>
      <c r="M19" s="1111">
        <v>4884860.7396037336</v>
      </c>
      <c r="N19" s="1111">
        <v>3897779.6952470392</v>
      </c>
      <c r="O19" s="1111">
        <v>889860.99662378093</v>
      </c>
      <c r="P19" s="1111">
        <v>765322.25560926087</v>
      </c>
      <c r="Q19" s="1112">
        <v>799066.42790453043</v>
      </c>
      <c r="R19" s="1123">
        <f>SUM(D19:Q19)</f>
        <v>24426597.899817355</v>
      </c>
      <c r="S19" s="1113">
        <f>((D19*$D$6)+(E19*$E$6)+(F19*$F$6)+(G19*$G$6)+(H19*$H$6)+(I19*$I$6)+(J19)+(K19*$K$6)+(L19*$L$6)+(M19*$M$6)+(N19*$N$6)+(O19*$O$6)+(P19*$P$6)+(Q19*$Q$6))/R19</f>
        <v>4.0911210162436998E-2</v>
      </c>
      <c r="T19" s="1123" t="s">
        <v>812</v>
      </c>
      <c r="U19" s="1114"/>
      <c r="V19" s="1114"/>
      <c r="W19" s="1114"/>
    </row>
    <row r="20" spans="1:24">
      <c r="A20" s="1108">
        <v>2019</v>
      </c>
      <c r="B20" s="1108" t="s">
        <v>482</v>
      </c>
      <c r="C20" s="1108" t="s">
        <v>204</v>
      </c>
      <c r="D20" s="1110">
        <v>423957.66239965986</v>
      </c>
      <c r="E20" s="1111">
        <v>123263.70164313466</v>
      </c>
      <c r="F20" s="1111">
        <v>4338616.7594407769</v>
      </c>
      <c r="G20" s="1111">
        <v>352413.33568882546</v>
      </c>
      <c r="H20" s="1111">
        <v>2623429.2539050714</v>
      </c>
      <c r="I20" s="1111">
        <v>1553705.3348553979</v>
      </c>
      <c r="J20" s="1111">
        <v>586293.03526271228</v>
      </c>
      <c r="K20" s="1111">
        <v>1671136.9249244421</v>
      </c>
      <c r="L20" s="1111">
        <v>1516891.7767089892</v>
      </c>
      <c r="M20" s="1111">
        <v>4884860.7396037336</v>
      </c>
      <c r="N20" s="1111">
        <v>3897779.6952470392</v>
      </c>
      <c r="O20" s="1111">
        <v>889860.99662378093</v>
      </c>
      <c r="P20" s="1111">
        <v>765322.25560926087</v>
      </c>
      <c r="Q20" s="1112">
        <v>799066.42790453043</v>
      </c>
      <c r="R20" s="1123">
        <f>SUM(D20:Q20)</f>
        <v>24426597.899817355</v>
      </c>
      <c r="S20" s="1113">
        <f>((D20*$D$6)+(E20*$E$6)+(F20*$F$6)+(G20*$G$6)+(H20*$H$6)+(I20*$I$6)+(J20)+(K20*$K$6)+(L20*$L$6)+(M20*$M$6)+(N20*$N$6)+(O20*$O$6)+(P20*$P$6)+(Q20*$Q$6))/R20</f>
        <v>4.0911210162436998E-2</v>
      </c>
      <c r="T20" s="1123" t="s">
        <v>812</v>
      </c>
      <c r="U20" s="1114"/>
      <c r="V20" s="1114"/>
      <c r="W20" s="1114"/>
    </row>
    <row r="22" spans="1:24" s="1288" customFormat="1" ht="10.199999999999999">
      <c r="A22" s="1263"/>
      <c r="B22" s="1263"/>
      <c r="C22" s="1263" t="s">
        <v>588</v>
      </c>
      <c r="D22" s="1265">
        <f t="shared" ref="D22:P22" si="1">+D18/$R$18</f>
        <v>1.7356394211689625E-2</v>
      </c>
      <c r="E22" s="1265">
        <f t="shared" si="1"/>
        <v>5.0462902017172169E-3</v>
      </c>
      <c r="F22" s="1265">
        <f t="shared" si="1"/>
        <v>0.17761854422933035</v>
      </c>
      <c r="G22" s="1265">
        <f t="shared" si="1"/>
        <v>1.4427442459822068E-2</v>
      </c>
      <c r="H22" s="1265">
        <f t="shared" si="1"/>
        <v>0.10740051744679056</v>
      </c>
      <c r="I22" s="1265">
        <f t="shared" si="1"/>
        <v>6.3607111445798822E-2</v>
      </c>
      <c r="J22" s="1265">
        <f t="shared" si="1"/>
        <v>2.4002238775425053E-2</v>
      </c>
      <c r="K22" s="1265">
        <f t="shared" si="1"/>
        <v>6.8414640949116284E-2</v>
      </c>
      <c r="L22" s="1265">
        <f t="shared" si="1"/>
        <v>6.2100001929467692E-2</v>
      </c>
      <c r="M22" s="1265">
        <f t="shared" si="1"/>
        <v>0.19998121554374379</v>
      </c>
      <c r="N22" s="1265">
        <f t="shared" si="1"/>
        <v>0.15957112452717717</v>
      </c>
      <c r="O22" s="1265">
        <f t="shared" si="1"/>
        <v>3.6430001438326975E-2</v>
      </c>
      <c r="P22" s="1265">
        <f t="shared" si="1"/>
        <v>3.1331512425436185E-2</v>
      </c>
      <c r="Q22" s="1265">
        <f>+Q18/$R$18</f>
        <v>3.271296441615823E-2</v>
      </c>
      <c r="R22" s="1264"/>
      <c r="S22" s="1264"/>
      <c r="T22" s="1264"/>
      <c r="U22" s="1264"/>
      <c r="V22" s="1264"/>
      <c r="W22" s="1264"/>
    </row>
    <row r="25" spans="1:24" ht="15" thickBot="1">
      <c r="A25" s="1122"/>
      <c r="D25" s="5581" t="s">
        <v>1040</v>
      </c>
      <c r="E25" s="5581"/>
      <c r="F25" s="5581"/>
      <c r="G25" s="5581"/>
      <c r="H25" s="5581"/>
      <c r="I25" s="5581"/>
      <c r="J25" s="5581"/>
      <c r="K25" s="5581"/>
      <c r="L25" s="5581"/>
      <c r="M25" s="5581"/>
      <c r="N25" s="5581"/>
      <c r="O25" s="5581"/>
      <c r="P25" s="5581"/>
      <c r="Q25" s="5581"/>
      <c r="S25" s="687"/>
    </row>
    <row r="26" spans="1:24" ht="29.4" thickBot="1">
      <c r="A26" s="1303" t="str">
        <f t="shared" ref="A26:C39" si="2">A7</f>
        <v>AÑO</v>
      </c>
      <c r="B26" s="1304" t="str">
        <f t="shared" si="2"/>
        <v>PROVINCIA</v>
      </c>
      <c r="C26" s="1304" t="str">
        <f t="shared" si="2"/>
        <v>CANTÓN</v>
      </c>
      <c r="D26" s="1305">
        <f t="shared" ref="D26:I26" si="3">D6</f>
        <v>0</v>
      </c>
      <c r="E26" s="1305">
        <f t="shared" si="3"/>
        <v>0</v>
      </c>
      <c r="F26" s="1305">
        <f t="shared" si="3"/>
        <v>0</v>
      </c>
      <c r="G26" s="1305">
        <f t="shared" si="3"/>
        <v>0</v>
      </c>
      <c r="H26" s="1305">
        <f t="shared" si="3"/>
        <v>0</v>
      </c>
      <c r="I26" s="1305">
        <f t="shared" si="3"/>
        <v>0</v>
      </c>
      <c r="J26" s="1301">
        <f>J6</f>
        <v>1</v>
      </c>
      <c r="K26" s="1301">
        <f t="shared" ref="K26:Q26" si="4">K6</f>
        <v>0.13</v>
      </c>
      <c r="L26" s="1301">
        <f t="shared" si="4"/>
        <v>5.5E-2</v>
      </c>
      <c r="M26" s="1301">
        <f t="shared" si="4"/>
        <v>2.3E-2</v>
      </c>
      <c r="N26" s="1305">
        <f t="shared" si="4"/>
        <v>0</v>
      </c>
      <c r="O26" s="1305">
        <f t="shared" si="4"/>
        <v>0</v>
      </c>
      <c r="P26" s="1305">
        <f t="shared" si="4"/>
        <v>0</v>
      </c>
      <c r="Q26" s="1306">
        <f t="shared" si="4"/>
        <v>0</v>
      </c>
      <c r="R26" s="1302" t="s">
        <v>196</v>
      </c>
      <c r="S26" s="679" t="s">
        <v>809</v>
      </c>
      <c r="T26" s="679" t="s">
        <v>810</v>
      </c>
      <c r="U26" s="1292" t="s">
        <v>811</v>
      </c>
      <c r="V26" s="690"/>
      <c r="W26" s="690"/>
      <c r="X26" s="690"/>
    </row>
    <row r="27" spans="1:24">
      <c r="A27" s="1291">
        <f t="shared" si="2"/>
        <v>2007</v>
      </c>
      <c r="B27" s="1291" t="str">
        <f t="shared" si="2"/>
        <v>PICHINCHA</v>
      </c>
      <c r="C27" s="1291" t="str">
        <f t="shared" si="2"/>
        <v>Quito</v>
      </c>
      <c r="D27" s="1293">
        <f t="shared" ref="D27:I27" si="5">+D8*D$6</f>
        <v>0</v>
      </c>
      <c r="E27" s="1293">
        <f t="shared" si="5"/>
        <v>0</v>
      </c>
      <c r="F27" s="1293">
        <f t="shared" si="5"/>
        <v>0</v>
      </c>
      <c r="G27" s="1293">
        <f t="shared" si="5"/>
        <v>0</v>
      </c>
      <c r="H27" s="1293">
        <f t="shared" si="5"/>
        <v>0</v>
      </c>
      <c r="I27" s="1293">
        <f t="shared" si="5"/>
        <v>0</v>
      </c>
      <c r="J27" s="1293">
        <f t="shared" ref="J27:M39" si="6">+J8*J$6</f>
        <v>189925.9604709126</v>
      </c>
      <c r="K27" s="1293">
        <f t="shared" si="6"/>
        <v>144083.96010792779</v>
      </c>
      <c r="L27" s="1293">
        <f t="shared" si="6"/>
        <v>32636.346889445529</v>
      </c>
      <c r="M27" s="1293">
        <f t="shared" si="6"/>
        <v>60525.63038628603</v>
      </c>
      <c r="N27" s="1293">
        <f t="shared" ref="N27:Q39" si="7">+N8*N$6</f>
        <v>0</v>
      </c>
      <c r="O27" s="1293">
        <f t="shared" si="7"/>
        <v>0</v>
      </c>
      <c r="P27" s="1293">
        <f t="shared" si="7"/>
        <v>0</v>
      </c>
      <c r="Q27" s="1293">
        <f t="shared" si="7"/>
        <v>0</v>
      </c>
      <c r="R27" s="1121">
        <v>2007</v>
      </c>
      <c r="S27" s="1294">
        <f t="shared" ref="S27:S39" si="8">SUM(J27:M27)</f>
        <v>427171.89785457199</v>
      </c>
      <c r="T27" s="1295">
        <f t="shared" ref="T27:T37" si="9">R8</f>
        <v>10602645.342326771</v>
      </c>
      <c r="U27" s="1296">
        <f>+S27/T27</f>
        <v>4.0289181054586544E-2</v>
      </c>
      <c r="V27" s="690"/>
      <c r="W27" s="690"/>
      <c r="X27" s="690"/>
    </row>
    <row r="28" spans="1:24">
      <c r="A28" s="1291">
        <f t="shared" si="2"/>
        <v>2008</v>
      </c>
      <c r="B28" s="1291" t="str">
        <f t="shared" si="2"/>
        <v>PICHINCHA</v>
      </c>
      <c r="C28" s="1291" t="str">
        <f t="shared" si="2"/>
        <v>Quito</v>
      </c>
      <c r="D28" s="1293">
        <f t="shared" ref="D28:I28" si="10">+D9*D$6</f>
        <v>0</v>
      </c>
      <c r="E28" s="1293">
        <f t="shared" si="10"/>
        <v>0</v>
      </c>
      <c r="F28" s="1293">
        <f t="shared" si="10"/>
        <v>0</v>
      </c>
      <c r="G28" s="1293">
        <f t="shared" si="10"/>
        <v>0</v>
      </c>
      <c r="H28" s="1293">
        <f t="shared" si="10"/>
        <v>0</v>
      </c>
      <c r="I28" s="1293">
        <f t="shared" si="10"/>
        <v>0</v>
      </c>
      <c r="J28" s="1293">
        <f t="shared" si="6"/>
        <v>226939.67722284907</v>
      </c>
      <c r="K28" s="1293">
        <f t="shared" si="6"/>
        <v>168992.65230541237</v>
      </c>
      <c r="L28" s="1293">
        <f t="shared" si="6"/>
        <v>36781.633553836327</v>
      </c>
      <c r="M28" s="1293">
        <f t="shared" si="6"/>
        <v>67460.534069734349</v>
      </c>
      <c r="N28" s="1293">
        <f t="shared" si="7"/>
        <v>0</v>
      </c>
      <c r="O28" s="1293">
        <f t="shared" si="7"/>
        <v>0</v>
      </c>
      <c r="P28" s="1293">
        <f t="shared" si="7"/>
        <v>0</v>
      </c>
      <c r="Q28" s="1293">
        <f t="shared" si="7"/>
        <v>0</v>
      </c>
      <c r="R28" s="677">
        <v>2008</v>
      </c>
      <c r="S28" s="1297">
        <f t="shared" si="8"/>
        <v>500174.4971518321</v>
      </c>
      <c r="T28" s="1298">
        <f t="shared" si="9"/>
        <v>12715229.239595046</v>
      </c>
      <c r="U28" s="1299">
        <f t="shared" ref="U28:U34" si="11">+S28/T28</f>
        <v>3.9336648024739948E-2</v>
      </c>
      <c r="V28" s="690"/>
      <c r="W28" s="690"/>
      <c r="X28" s="690"/>
    </row>
    <row r="29" spans="1:24">
      <c r="A29" s="1291">
        <f t="shared" si="2"/>
        <v>2009</v>
      </c>
      <c r="B29" s="1291" t="str">
        <f t="shared" si="2"/>
        <v>PICHINCHA</v>
      </c>
      <c r="C29" s="1291" t="str">
        <f t="shared" si="2"/>
        <v>Quito</v>
      </c>
      <c r="D29" s="1293">
        <f t="shared" ref="D29:I29" si="12">+D10*D$6</f>
        <v>0</v>
      </c>
      <c r="E29" s="1293">
        <f t="shared" si="12"/>
        <v>0</v>
      </c>
      <c r="F29" s="1293">
        <f t="shared" si="12"/>
        <v>0</v>
      </c>
      <c r="G29" s="1293">
        <f t="shared" si="12"/>
        <v>0</v>
      </c>
      <c r="H29" s="1293">
        <f t="shared" si="12"/>
        <v>0</v>
      </c>
      <c r="I29" s="1293">
        <f t="shared" si="12"/>
        <v>0</v>
      </c>
      <c r="J29" s="1293">
        <f t="shared" si="6"/>
        <v>263723.70149069594</v>
      </c>
      <c r="K29" s="1293">
        <f t="shared" si="6"/>
        <v>162575.16470262382</v>
      </c>
      <c r="L29" s="1293">
        <f t="shared" si="6"/>
        <v>42071.589584179819</v>
      </c>
      <c r="M29" s="1293">
        <f t="shared" si="6"/>
        <v>68884.199961534716</v>
      </c>
      <c r="N29" s="1293">
        <f t="shared" si="7"/>
        <v>0</v>
      </c>
      <c r="O29" s="1293">
        <f t="shared" si="7"/>
        <v>0</v>
      </c>
      <c r="P29" s="1293">
        <f t="shared" si="7"/>
        <v>0</v>
      </c>
      <c r="Q29" s="1293">
        <f t="shared" si="7"/>
        <v>0</v>
      </c>
      <c r="R29" s="677">
        <v>2009</v>
      </c>
      <c r="S29" s="1297">
        <f t="shared" si="8"/>
        <v>537254.65573903429</v>
      </c>
      <c r="T29" s="1298">
        <f t="shared" si="9"/>
        <v>12937775.247569835</v>
      </c>
      <c r="U29" s="1299">
        <f t="shared" si="11"/>
        <v>4.1526046438312446E-2</v>
      </c>
      <c r="V29" s="690"/>
      <c r="W29" s="690"/>
      <c r="X29" s="690"/>
    </row>
    <row r="30" spans="1:24">
      <c r="A30" s="1291">
        <f t="shared" si="2"/>
        <v>2010</v>
      </c>
      <c r="B30" s="1291" t="str">
        <f t="shared" si="2"/>
        <v>PICHINCHA</v>
      </c>
      <c r="C30" s="1291" t="str">
        <f t="shared" si="2"/>
        <v>Quito</v>
      </c>
      <c r="D30" s="1293">
        <f t="shared" ref="D30:I30" si="13">+D11*D$6</f>
        <v>0</v>
      </c>
      <c r="E30" s="1293">
        <f t="shared" si="13"/>
        <v>0</v>
      </c>
      <c r="F30" s="1293">
        <f t="shared" si="13"/>
        <v>0</v>
      </c>
      <c r="G30" s="1293">
        <f t="shared" si="13"/>
        <v>0</v>
      </c>
      <c r="H30" s="1293">
        <f t="shared" si="13"/>
        <v>0</v>
      </c>
      <c r="I30" s="1293">
        <f t="shared" si="13"/>
        <v>0</v>
      </c>
      <c r="J30" s="1293">
        <f t="shared" si="6"/>
        <v>296427.69033150922</v>
      </c>
      <c r="K30" s="1293">
        <f t="shared" si="6"/>
        <v>180854.10508680283</v>
      </c>
      <c r="L30" s="1293">
        <f t="shared" si="6"/>
        <v>46560.53573452952</v>
      </c>
      <c r="M30" s="1293">
        <f t="shared" si="6"/>
        <v>81093.656624270749</v>
      </c>
      <c r="N30" s="1293">
        <f t="shared" si="7"/>
        <v>0</v>
      </c>
      <c r="O30" s="1293">
        <f t="shared" si="7"/>
        <v>0</v>
      </c>
      <c r="P30" s="1293">
        <f t="shared" si="7"/>
        <v>0</v>
      </c>
      <c r="Q30" s="1293">
        <f t="shared" si="7"/>
        <v>0</v>
      </c>
      <c r="R30" s="677">
        <v>2010</v>
      </c>
      <c r="S30" s="1297">
        <f t="shared" si="8"/>
        <v>604935.98777711228</v>
      </c>
      <c r="T30" s="1298">
        <f t="shared" si="9"/>
        <v>14703420.584605612</v>
      </c>
      <c r="U30" s="1299">
        <f t="shared" si="11"/>
        <v>4.1142534439263502E-2</v>
      </c>
      <c r="V30" s="690"/>
      <c r="W30" s="690"/>
      <c r="X30" s="690"/>
    </row>
    <row r="31" spans="1:24">
      <c r="A31" s="1291">
        <f t="shared" si="2"/>
        <v>2011</v>
      </c>
      <c r="B31" s="1291" t="str">
        <f t="shared" si="2"/>
        <v>PICHINCHA</v>
      </c>
      <c r="C31" s="1291" t="str">
        <f t="shared" si="2"/>
        <v>Quito</v>
      </c>
      <c r="D31" s="1293">
        <f t="shared" ref="D31:I31" si="14">+D12*D$6</f>
        <v>0</v>
      </c>
      <c r="E31" s="1293">
        <f t="shared" si="14"/>
        <v>0</v>
      </c>
      <c r="F31" s="1293">
        <f t="shared" si="14"/>
        <v>0</v>
      </c>
      <c r="G31" s="1293">
        <f t="shared" si="14"/>
        <v>0</v>
      </c>
      <c r="H31" s="1293">
        <f t="shared" si="14"/>
        <v>0</v>
      </c>
      <c r="I31" s="1293">
        <f t="shared" si="14"/>
        <v>0</v>
      </c>
      <c r="J31" s="1293">
        <f t="shared" si="6"/>
        <v>337341.43208725739</v>
      </c>
      <c r="K31" s="1293">
        <f t="shared" si="6"/>
        <v>165509.97578864801</v>
      </c>
      <c r="L31" s="1293">
        <f t="shared" si="6"/>
        <v>53282.335746835124</v>
      </c>
      <c r="M31" s="1293">
        <f t="shared" si="6"/>
        <v>85875.70865493844</v>
      </c>
      <c r="N31" s="1293">
        <f t="shared" si="7"/>
        <v>0</v>
      </c>
      <c r="O31" s="1293">
        <f t="shared" si="7"/>
        <v>0</v>
      </c>
      <c r="P31" s="1293">
        <f t="shared" si="7"/>
        <v>0</v>
      </c>
      <c r="Q31" s="1293">
        <f t="shared" si="7"/>
        <v>0</v>
      </c>
      <c r="R31" s="677">
        <v>2011</v>
      </c>
      <c r="S31" s="1297">
        <f t="shared" si="8"/>
        <v>642009.452277679</v>
      </c>
      <c r="T31" s="1298">
        <f t="shared" si="9"/>
        <v>16511524.155526428</v>
      </c>
      <c r="U31" s="1299">
        <f t="shared" si="11"/>
        <v>3.8882506922463464E-2</v>
      </c>
      <c r="V31" s="690"/>
      <c r="W31" s="690"/>
      <c r="X31" s="690"/>
    </row>
    <row r="32" spans="1:24">
      <c r="A32" s="1291">
        <f t="shared" si="2"/>
        <v>2012</v>
      </c>
      <c r="B32" s="1291" t="str">
        <f t="shared" si="2"/>
        <v>PICHINCHA</v>
      </c>
      <c r="C32" s="1291" t="str">
        <f t="shared" si="2"/>
        <v>Quito</v>
      </c>
      <c r="D32" s="1293">
        <f t="shared" ref="D32:I32" si="15">+D13*D$6</f>
        <v>0</v>
      </c>
      <c r="E32" s="1293">
        <f t="shared" si="15"/>
        <v>0</v>
      </c>
      <c r="F32" s="1293">
        <f t="shared" si="15"/>
        <v>0</v>
      </c>
      <c r="G32" s="1293">
        <f t="shared" si="15"/>
        <v>0</v>
      </c>
      <c r="H32" s="1293">
        <f t="shared" si="15"/>
        <v>0</v>
      </c>
      <c r="I32" s="1293">
        <f t="shared" si="15"/>
        <v>0</v>
      </c>
      <c r="J32" s="1293">
        <f t="shared" si="6"/>
        <v>421801.52447812504</v>
      </c>
      <c r="K32" s="1293">
        <f t="shared" si="6"/>
        <v>183465.46677046129</v>
      </c>
      <c r="L32" s="1293">
        <f t="shared" si="6"/>
        <v>66183.215634030814</v>
      </c>
      <c r="M32" s="1293">
        <f t="shared" si="6"/>
        <v>100319.42852829615</v>
      </c>
      <c r="N32" s="1293">
        <f t="shared" si="7"/>
        <v>0</v>
      </c>
      <c r="O32" s="1293">
        <f t="shared" si="7"/>
        <v>0</v>
      </c>
      <c r="P32" s="1293">
        <f t="shared" si="7"/>
        <v>0</v>
      </c>
      <c r="Q32" s="1293">
        <f t="shared" si="7"/>
        <v>0</v>
      </c>
      <c r="R32" s="677">
        <v>2012</v>
      </c>
      <c r="S32" s="1297">
        <f t="shared" si="8"/>
        <v>771769.63541091338</v>
      </c>
      <c r="T32" s="1298">
        <f t="shared" si="9"/>
        <v>18837116.680155415</v>
      </c>
      <c r="U32" s="1299">
        <f t="shared" si="11"/>
        <v>4.0970688270140602E-2</v>
      </c>
      <c r="V32" s="690"/>
      <c r="W32" s="690"/>
      <c r="X32" s="690"/>
    </row>
    <row r="33" spans="1:24">
      <c r="A33" s="1291">
        <f t="shared" si="2"/>
        <v>2013</v>
      </c>
      <c r="B33" s="1291" t="str">
        <f t="shared" si="2"/>
        <v>PICHINCHA</v>
      </c>
      <c r="C33" s="1291" t="str">
        <f t="shared" si="2"/>
        <v>Quito</v>
      </c>
      <c r="D33" s="1293">
        <f t="shared" ref="D33:I33" si="16">+D14*D$6</f>
        <v>0</v>
      </c>
      <c r="E33" s="1293">
        <f t="shared" si="16"/>
        <v>0</v>
      </c>
      <c r="F33" s="1293">
        <f t="shared" si="16"/>
        <v>0</v>
      </c>
      <c r="G33" s="1293">
        <f t="shared" si="16"/>
        <v>0</v>
      </c>
      <c r="H33" s="1293">
        <f t="shared" si="16"/>
        <v>0</v>
      </c>
      <c r="I33" s="1293">
        <f t="shared" si="16"/>
        <v>0</v>
      </c>
      <c r="J33" s="1293">
        <f t="shared" si="6"/>
        <v>483549.37214129994</v>
      </c>
      <c r="K33" s="1293">
        <f t="shared" si="6"/>
        <v>202860.95185187692</v>
      </c>
      <c r="L33" s="1293">
        <f t="shared" si="6"/>
        <v>61292.787849270011</v>
      </c>
      <c r="M33" s="1293">
        <f t="shared" si="6"/>
        <v>106346.28390118282</v>
      </c>
      <c r="N33" s="1293">
        <f t="shared" si="7"/>
        <v>0</v>
      </c>
      <c r="O33" s="1293">
        <f t="shared" si="7"/>
        <v>0</v>
      </c>
      <c r="P33" s="1293">
        <f t="shared" si="7"/>
        <v>0</v>
      </c>
      <c r="Q33" s="1293">
        <f t="shared" si="7"/>
        <v>0</v>
      </c>
      <c r="R33" s="677">
        <v>2013</v>
      </c>
      <c r="S33" s="1297">
        <f t="shared" si="8"/>
        <v>854049.39574362978</v>
      </c>
      <c r="T33" s="1298">
        <f t="shared" si="9"/>
        <v>20940259.705790155</v>
      </c>
      <c r="U33" s="1299">
        <f t="shared" si="11"/>
        <v>4.0785043153379712E-2</v>
      </c>
      <c r="V33" s="690"/>
      <c r="W33" s="690"/>
      <c r="X33" s="690"/>
    </row>
    <row r="34" spans="1:24">
      <c r="A34" s="1291">
        <f t="shared" si="2"/>
        <v>2014</v>
      </c>
      <c r="B34" s="1291" t="str">
        <f t="shared" si="2"/>
        <v>PICHINCHA</v>
      </c>
      <c r="C34" s="1291" t="str">
        <f t="shared" si="2"/>
        <v>Quito</v>
      </c>
      <c r="D34" s="1293">
        <f t="shared" ref="D34:I34" si="17">+D15*D$6</f>
        <v>0</v>
      </c>
      <c r="E34" s="1293">
        <f t="shared" si="17"/>
        <v>0</v>
      </c>
      <c r="F34" s="1293">
        <f t="shared" si="17"/>
        <v>0</v>
      </c>
      <c r="G34" s="1293">
        <f t="shared" si="17"/>
        <v>0</v>
      </c>
      <c r="H34" s="1293">
        <f t="shared" si="17"/>
        <v>0</v>
      </c>
      <c r="I34" s="1293">
        <f t="shared" si="17"/>
        <v>0</v>
      </c>
      <c r="J34" s="1293">
        <f t="shared" si="6"/>
        <v>535769.95107360627</v>
      </c>
      <c r="K34" s="1293">
        <f t="shared" si="6"/>
        <v>224008.36771249355</v>
      </c>
      <c r="L34" s="1293">
        <f t="shared" si="6"/>
        <v>71456.360485589496</v>
      </c>
      <c r="M34" s="1293">
        <f t="shared" si="6"/>
        <v>118329.31215278675</v>
      </c>
      <c r="N34" s="1293">
        <f t="shared" si="7"/>
        <v>0</v>
      </c>
      <c r="O34" s="1293">
        <f t="shared" si="7"/>
        <v>0</v>
      </c>
      <c r="P34" s="1293">
        <f t="shared" si="7"/>
        <v>0</v>
      </c>
      <c r="Q34" s="1293">
        <f t="shared" si="7"/>
        <v>0</v>
      </c>
      <c r="R34" s="677">
        <v>2014</v>
      </c>
      <c r="S34" s="1297">
        <f t="shared" si="8"/>
        <v>949563.99142447603</v>
      </c>
      <c r="T34" s="1298">
        <f t="shared" si="9"/>
        <v>22997319.155908685</v>
      </c>
      <c r="U34" s="1299">
        <f t="shared" si="11"/>
        <v>4.1290203653172555E-2</v>
      </c>
      <c r="V34" s="690"/>
      <c r="W34" s="690"/>
      <c r="X34" s="690"/>
    </row>
    <row r="35" spans="1:24">
      <c r="A35" s="1291">
        <f t="shared" si="2"/>
        <v>2015</v>
      </c>
      <c r="B35" s="1291" t="str">
        <f t="shared" si="2"/>
        <v>PICHINCHA</v>
      </c>
      <c r="C35" s="1291" t="str">
        <f t="shared" si="2"/>
        <v>Quito</v>
      </c>
      <c r="D35" s="1293">
        <f t="shared" ref="D35:I35" si="18">+D16*D$6</f>
        <v>0</v>
      </c>
      <c r="E35" s="1293">
        <f t="shared" si="18"/>
        <v>0</v>
      </c>
      <c r="F35" s="1293">
        <f t="shared" si="18"/>
        <v>0</v>
      </c>
      <c r="G35" s="1293">
        <f t="shared" si="18"/>
        <v>0</v>
      </c>
      <c r="H35" s="1293">
        <f t="shared" si="18"/>
        <v>0</v>
      </c>
      <c r="I35" s="1293">
        <f t="shared" si="18"/>
        <v>0</v>
      </c>
      <c r="J35" s="1293">
        <f t="shared" si="6"/>
        <v>552811.99787082756</v>
      </c>
      <c r="K35" s="1293">
        <f t="shared" si="6"/>
        <v>207350.83709959645</v>
      </c>
      <c r="L35" s="1293">
        <f t="shared" si="6"/>
        <v>71175.657018573256</v>
      </c>
      <c r="M35" s="1293">
        <f t="shared" si="6"/>
        <v>110387.19371199475</v>
      </c>
      <c r="N35" s="1293">
        <f t="shared" si="7"/>
        <v>0</v>
      </c>
      <c r="O35" s="1293">
        <f t="shared" si="7"/>
        <v>0</v>
      </c>
      <c r="P35" s="1293">
        <f t="shared" si="7"/>
        <v>0</v>
      </c>
      <c r="Q35" s="1293">
        <f t="shared" si="7"/>
        <v>0</v>
      </c>
      <c r="R35" s="677">
        <v>2015</v>
      </c>
      <c r="S35" s="1297">
        <f t="shared" si="8"/>
        <v>941725.68570099201</v>
      </c>
      <c r="T35" s="1300">
        <f t="shared" si="9"/>
        <v>23232402.031223733</v>
      </c>
      <c r="U35" s="1299">
        <f>+S35/T35</f>
        <v>4.0535011594381741E-2</v>
      </c>
      <c r="V35" s="690"/>
      <c r="W35" s="690"/>
      <c r="X35" s="690"/>
    </row>
    <row r="36" spans="1:24">
      <c r="A36" s="1291">
        <f t="shared" si="2"/>
        <v>2016</v>
      </c>
      <c r="B36" s="1291" t="str">
        <f t="shared" si="2"/>
        <v>PICHINCHA</v>
      </c>
      <c r="C36" s="1291" t="str">
        <f t="shared" si="2"/>
        <v>Quito</v>
      </c>
      <c r="D36" s="1293">
        <f t="shared" ref="D36:I36" si="19">+D17*D$6</f>
        <v>0</v>
      </c>
      <c r="E36" s="1293">
        <f t="shared" si="19"/>
        <v>0</v>
      </c>
      <c r="F36" s="1293">
        <f t="shared" si="19"/>
        <v>0</v>
      </c>
      <c r="G36" s="1293">
        <f t="shared" si="19"/>
        <v>0</v>
      </c>
      <c r="H36" s="1293">
        <f t="shared" si="19"/>
        <v>0</v>
      </c>
      <c r="I36" s="1293">
        <f t="shared" si="19"/>
        <v>0</v>
      </c>
      <c r="J36" s="1293">
        <f t="shared" si="6"/>
        <v>551461.33182469895</v>
      </c>
      <c r="K36" s="1293">
        <f t="shared" si="6"/>
        <v>213569.74849360689</v>
      </c>
      <c r="L36" s="1293">
        <f t="shared" si="6"/>
        <v>72429.62300505153</v>
      </c>
      <c r="M36" s="1293">
        <f t="shared" si="6"/>
        <v>101616.4638862928</v>
      </c>
      <c r="N36" s="1293">
        <f t="shared" si="7"/>
        <v>0</v>
      </c>
      <c r="O36" s="1293">
        <f t="shared" si="7"/>
        <v>0</v>
      </c>
      <c r="P36" s="1293">
        <f t="shared" si="7"/>
        <v>0</v>
      </c>
      <c r="Q36" s="1293">
        <f t="shared" si="7"/>
        <v>0</v>
      </c>
      <c r="R36" s="677">
        <v>2016</v>
      </c>
      <c r="S36" s="1297">
        <f t="shared" si="8"/>
        <v>939077.16720965016</v>
      </c>
      <c r="T36" s="1300">
        <f t="shared" si="9"/>
        <v>23228687.19759446</v>
      </c>
      <c r="U36" s="1299">
        <f>+S36/T36</f>
        <v>4.0427474838392936E-2</v>
      </c>
      <c r="V36" s="690"/>
      <c r="W36" s="690"/>
      <c r="X36" s="690"/>
    </row>
    <row r="37" spans="1:24">
      <c r="A37" s="1291">
        <f t="shared" si="2"/>
        <v>2017</v>
      </c>
      <c r="B37" s="1291" t="str">
        <f t="shared" si="2"/>
        <v>PICHINCHA</v>
      </c>
      <c r="C37" s="1291" t="str">
        <f t="shared" si="2"/>
        <v>Quito</v>
      </c>
      <c r="D37" s="1293">
        <f t="shared" ref="D37:I37" si="20">+D18*D$6</f>
        <v>0</v>
      </c>
      <c r="E37" s="1293">
        <f t="shared" si="20"/>
        <v>0</v>
      </c>
      <c r="F37" s="1293">
        <f t="shared" si="20"/>
        <v>0</v>
      </c>
      <c r="G37" s="1293">
        <f t="shared" si="20"/>
        <v>0</v>
      </c>
      <c r="H37" s="1293">
        <f t="shared" si="20"/>
        <v>0</v>
      </c>
      <c r="I37" s="1293">
        <f t="shared" si="20"/>
        <v>0</v>
      </c>
      <c r="J37" s="1293">
        <f t="shared" si="6"/>
        <v>586293.03526271228</v>
      </c>
      <c r="K37" s="1293">
        <f t="shared" si="6"/>
        <v>217247.80024017749</v>
      </c>
      <c r="L37" s="1293">
        <f t="shared" si="6"/>
        <v>83429.047718994407</v>
      </c>
      <c r="M37" s="1293">
        <f t="shared" si="6"/>
        <v>112351.79701088587</v>
      </c>
      <c r="N37" s="1293">
        <f t="shared" si="7"/>
        <v>0</v>
      </c>
      <c r="O37" s="1293">
        <f t="shared" si="7"/>
        <v>0</v>
      </c>
      <c r="P37" s="1293">
        <f t="shared" si="7"/>
        <v>0</v>
      </c>
      <c r="Q37" s="1293">
        <f t="shared" si="7"/>
        <v>0</v>
      </c>
      <c r="R37" s="677">
        <v>2017</v>
      </c>
      <c r="S37" s="1297">
        <f t="shared" si="8"/>
        <v>999321.68023277004</v>
      </c>
      <c r="T37" s="1300">
        <f t="shared" si="9"/>
        <v>24426597.899817355</v>
      </c>
      <c r="U37" s="1299">
        <f>+S37/T37</f>
        <v>4.0911210162436998E-2</v>
      </c>
      <c r="V37" s="690"/>
      <c r="W37" s="690"/>
      <c r="X37" s="690"/>
    </row>
    <row r="38" spans="1:24">
      <c r="A38" s="1270">
        <f t="shared" si="2"/>
        <v>2018</v>
      </c>
      <c r="B38" s="1270" t="str">
        <f t="shared" si="2"/>
        <v>PICHINCHA</v>
      </c>
      <c r="C38" s="1270" t="str">
        <f t="shared" si="2"/>
        <v>Quito</v>
      </c>
      <c r="D38" s="1271">
        <f t="shared" ref="D38:I38" si="21">+D19*D$6</f>
        <v>0</v>
      </c>
      <c r="E38" s="1271">
        <f t="shared" si="21"/>
        <v>0</v>
      </c>
      <c r="F38" s="1271">
        <f t="shared" si="21"/>
        <v>0</v>
      </c>
      <c r="G38" s="1271">
        <f t="shared" si="21"/>
        <v>0</v>
      </c>
      <c r="H38" s="1271">
        <f t="shared" si="21"/>
        <v>0</v>
      </c>
      <c r="I38" s="1271">
        <f t="shared" si="21"/>
        <v>0</v>
      </c>
      <c r="J38" s="1271">
        <f t="shared" si="6"/>
        <v>586293.03526271228</v>
      </c>
      <c r="K38" s="1271">
        <f t="shared" si="6"/>
        <v>217247.80024017749</v>
      </c>
      <c r="L38" s="1271">
        <f t="shared" si="6"/>
        <v>83429.047718994407</v>
      </c>
      <c r="M38" s="1271">
        <f t="shared" si="6"/>
        <v>112351.79701088587</v>
      </c>
      <c r="N38" s="1271">
        <f t="shared" si="7"/>
        <v>0</v>
      </c>
      <c r="O38" s="1271">
        <f t="shared" si="7"/>
        <v>0</v>
      </c>
      <c r="P38" s="1271">
        <f t="shared" si="7"/>
        <v>0</v>
      </c>
      <c r="Q38" s="1271">
        <f t="shared" si="7"/>
        <v>0</v>
      </c>
      <c r="R38" s="1109">
        <v>2018</v>
      </c>
      <c r="S38" s="1120">
        <f t="shared" si="8"/>
        <v>999321.68023277004</v>
      </c>
      <c r="T38" s="1111">
        <f>R19</f>
        <v>24426597.899817355</v>
      </c>
      <c r="U38" s="1272">
        <f>+S38/T38</f>
        <v>4.0911210162436998E-2</v>
      </c>
      <c r="V38" s="1114"/>
      <c r="W38" s="1114"/>
      <c r="X38" s="1114"/>
    </row>
    <row r="39" spans="1:24">
      <c r="A39" s="1270">
        <f t="shared" si="2"/>
        <v>2019</v>
      </c>
      <c r="B39" s="1270" t="str">
        <f t="shared" si="2"/>
        <v>PICHINCHA</v>
      </c>
      <c r="C39" s="1270" t="str">
        <f t="shared" si="2"/>
        <v>Quito</v>
      </c>
      <c r="D39" s="1271">
        <f t="shared" ref="D39:I39" si="22">+D20*D$6</f>
        <v>0</v>
      </c>
      <c r="E39" s="1271">
        <f t="shared" si="22"/>
        <v>0</v>
      </c>
      <c r="F39" s="1271">
        <f t="shared" si="22"/>
        <v>0</v>
      </c>
      <c r="G39" s="1271">
        <f t="shared" si="22"/>
        <v>0</v>
      </c>
      <c r="H39" s="1271">
        <f t="shared" si="22"/>
        <v>0</v>
      </c>
      <c r="I39" s="1271">
        <f t="shared" si="22"/>
        <v>0</v>
      </c>
      <c r="J39" s="1271">
        <f t="shared" si="6"/>
        <v>586293.03526271228</v>
      </c>
      <c r="K39" s="1271">
        <f t="shared" si="6"/>
        <v>217247.80024017749</v>
      </c>
      <c r="L39" s="1271">
        <f t="shared" si="6"/>
        <v>83429.047718994407</v>
      </c>
      <c r="M39" s="1271">
        <f t="shared" si="6"/>
        <v>112351.79701088587</v>
      </c>
      <c r="N39" s="1271">
        <f t="shared" si="7"/>
        <v>0</v>
      </c>
      <c r="O39" s="1271">
        <f t="shared" si="7"/>
        <v>0</v>
      </c>
      <c r="P39" s="1271">
        <f t="shared" si="7"/>
        <v>0</v>
      </c>
      <c r="Q39" s="1271">
        <f t="shared" si="7"/>
        <v>0</v>
      </c>
      <c r="R39" s="1109">
        <v>2019</v>
      </c>
      <c r="S39" s="1120">
        <f t="shared" si="8"/>
        <v>999321.68023277004</v>
      </c>
      <c r="T39" s="1111">
        <f>R20</f>
        <v>24426597.899817355</v>
      </c>
      <c r="U39" s="1272">
        <f>+S39/T39</f>
        <v>4.0911210162436998E-2</v>
      </c>
      <c r="V39" s="1114"/>
      <c r="W39" s="1114"/>
      <c r="X39" s="1114"/>
    </row>
    <row r="40" spans="1:24">
      <c r="X40" s="682"/>
    </row>
    <row r="43" spans="1:24" ht="22.2" customHeight="1">
      <c r="N43" s="5580" t="s">
        <v>1045</v>
      </c>
      <c r="O43" s="5580"/>
      <c r="P43" s="5580"/>
      <c r="Q43" s="1130" t="s">
        <v>1002</v>
      </c>
      <c r="R43" s="5582" t="s">
        <v>999</v>
      </c>
      <c r="S43" s="5582"/>
      <c r="T43" s="5582"/>
      <c r="U43" s="5582"/>
    </row>
    <row r="44" spans="1:24" ht="22.2" customHeight="1">
      <c r="N44" s="5580" t="s">
        <v>1046</v>
      </c>
      <c r="O44" s="5580"/>
      <c r="P44" s="5580"/>
      <c r="Q44" s="1130" t="s">
        <v>9</v>
      </c>
      <c r="R44" s="5582" t="s">
        <v>1001</v>
      </c>
      <c r="S44" s="5582"/>
      <c r="T44" s="5582"/>
      <c r="U44" s="5582"/>
    </row>
    <row r="45" spans="1:24" ht="22.2" customHeight="1">
      <c r="A45" s="685" t="s">
        <v>1049</v>
      </c>
      <c r="N45" s="1260"/>
      <c r="O45" s="1260"/>
      <c r="P45" s="1260"/>
      <c r="Q45" s="1261"/>
      <c r="R45" s="1262"/>
      <c r="S45" s="1262"/>
      <c r="T45" s="1262"/>
      <c r="U45" s="1262"/>
    </row>
    <row r="46" spans="1:24" ht="22.2" customHeight="1">
      <c r="I46" s="1307"/>
      <c r="N46" s="1260"/>
      <c r="O46" s="1260"/>
      <c r="P46" s="1260"/>
      <c r="Q46" s="1261"/>
      <c r="R46" s="1262"/>
      <c r="S46" s="1262"/>
      <c r="T46" s="1262"/>
      <c r="U46" s="1262"/>
    </row>
    <row r="47" spans="1:24">
      <c r="D47" s="5581" t="s">
        <v>1041</v>
      </c>
      <c r="E47" s="5581"/>
      <c r="F47" s="5581"/>
      <c r="G47" s="5581"/>
      <c r="H47" s="5581"/>
      <c r="I47" s="5581"/>
      <c r="J47" s="5581"/>
      <c r="K47" s="5581"/>
      <c r="L47" s="5581"/>
      <c r="M47" s="5581"/>
      <c r="N47" s="5581"/>
      <c r="O47" s="5581"/>
      <c r="P47" s="5581"/>
      <c r="Q47" s="5581"/>
    </row>
    <row r="48" spans="1:24" s="1188" customFormat="1" ht="28.2" thickBot="1">
      <c r="A48" s="684"/>
      <c r="B48" s="684"/>
      <c r="C48" s="1284" t="s">
        <v>1044</v>
      </c>
      <c r="D48" s="1283"/>
      <c r="E48" s="1283"/>
      <c r="F48" s="1283"/>
      <c r="G48" s="1283"/>
      <c r="H48" s="1283"/>
      <c r="I48" s="1283">
        <v>2.5000000000000001E-2</v>
      </c>
      <c r="J48" s="1283">
        <v>0.85499999999999998</v>
      </c>
      <c r="K48" s="1283">
        <v>6.5000000000000002E-2</v>
      </c>
      <c r="L48" s="1283">
        <v>2.7E-2</v>
      </c>
      <c r="M48" s="1283">
        <v>5.8500000000000003E-2</v>
      </c>
      <c r="N48" s="1283">
        <v>3.0000000000000001E-3</v>
      </c>
      <c r="O48" s="1283"/>
      <c r="P48" s="1283"/>
      <c r="Q48" s="1283"/>
      <c r="R48" s="684"/>
      <c r="S48" s="684"/>
      <c r="T48" s="684"/>
      <c r="U48" s="684"/>
      <c r="V48" s="684"/>
      <c r="W48" s="684"/>
    </row>
    <row r="49" spans="1:23" ht="42" thickBot="1">
      <c r="A49" s="678" t="s">
        <v>196</v>
      </c>
      <c r="B49" s="678" t="s">
        <v>480</v>
      </c>
      <c r="C49" s="679" t="s">
        <v>481</v>
      </c>
      <c r="D49" s="691" t="s">
        <v>790</v>
      </c>
      <c r="E49" s="692" t="s">
        <v>791</v>
      </c>
      <c r="F49" s="692" t="s">
        <v>792</v>
      </c>
      <c r="G49" s="692" t="s">
        <v>793</v>
      </c>
      <c r="H49" s="692" t="s">
        <v>794</v>
      </c>
      <c r="I49" s="692" t="s">
        <v>795</v>
      </c>
      <c r="J49" s="693" t="s">
        <v>796</v>
      </c>
      <c r="K49" s="692" t="s">
        <v>797</v>
      </c>
      <c r="L49" s="692" t="s">
        <v>798</v>
      </c>
      <c r="M49" s="692" t="s">
        <v>799</v>
      </c>
      <c r="N49" s="692" t="s">
        <v>800</v>
      </c>
      <c r="O49" s="692" t="s">
        <v>801</v>
      </c>
      <c r="P49" s="692" t="s">
        <v>802</v>
      </c>
      <c r="Q49" s="694" t="s">
        <v>803</v>
      </c>
      <c r="R49" s="695" t="s">
        <v>804</v>
      </c>
      <c r="S49" s="696" t="s">
        <v>805</v>
      </c>
      <c r="T49" s="696" t="s">
        <v>806</v>
      </c>
    </row>
    <row r="50" spans="1:23">
      <c r="A50" s="1273">
        <f>A18</f>
        <v>2017</v>
      </c>
      <c r="B50" s="1273" t="str">
        <f t="shared" ref="B50:C52" si="23">B18</f>
        <v>PICHINCHA</v>
      </c>
      <c r="C50" s="1274" t="str">
        <f t="shared" si="23"/>
        <v>Quito</v>
      </c>
      <c r="D50" s="1275">
        <f t="shared" ref="D50:P50" si="24">D18*D48</f>
        <v>0</v>
      </c>
      <c r="E50" s="1275">
        <f t="shared" si="24"/>
        <v>0</v>
      </c>
      <c r="F50" s="1275">
        <f t="shared" si="24"/>
        <v>0</v>
      </c>
      <c r="G50" s="1275">
        <f t="shared" si="24"/>
        <v>0</v>
      </c>
      <c r="H50" s="1275">
        <f t="shared" si="24"/>
        <v>0</v>
      </c>
      <c r="I50" s="1275">
        <f t="shared" si="24"/>
        <v>38842.633371384953</v>
      </c>
      <c r="J50" s="1275">
        <f t="shared" si="24"/>
        <v>501280.54514961899</v>
      </c>
      <c r="K50" s="1275">
        <f t="shared" si="24"/>
        <v>108623.90012008874</v>
      </c>
      <c r="L50" s="1275">
        <f t="shared" si="24"/>
        <v>40956.077971142709</v>
      </c>
      <c r="M50" s="1275">
        <f t="shared" si="24"/>
        <v>285764.35326681845</v>
      </c>
      <c r="N50" s="1275">
        <f t="shared" si="24"/>
        <v>11693.339085741118</v>
      </c>
      <c r="O50" s="1275">
        <f t="shared" si="24"/>
        <v>0</v>
      </c>
      <c r="P50" s="1275">
        <f t="shared" si="24"/>
        <v>0</v>
      </c>
      <c r="Q50" s="1276"/>
      <c r="R50" s="1275">
        <f>SUM(D50:Q50)</f>
        <v>987160.84896479489</v>
      </c>
      <c r="S50" s="1277">
        <f>R50/R18</f>
        <v>4.0413358135812115E-2</v>
      </c>
      <c r="T50" s="1274" t="s">
        <v>1042</v>
      </c>
    </row>
    <row r="51" spans="1:23">
      <c r="A51" s="1273">
        <f>A19</f>
        <v>2018</v>
      </c>
      <c r="B51" s="1273" t="str">
        <f t="shared" si="23"/>
        <v>PICHINCHA</v>
      </c>
      <c r="C51" s="1274" t="str">
        <f t="shared" si="23"/>
        <v>Quito</v>
      </c>
      <c r="D51" s="1275">
        <f>D19*D48</f>
        <v>0</v>
      </c>
      <c r="E51" s="1275">
        <f t="shared" ref="E51:Q51" si="25">E19*E48</f>
        <v>0</v>
      </c>
      <c r="F51" s="1275">
        <f t="shared" si="25"/>
        <v>0</v>
      </c>
      <c r="G51" s="1275">
        <f t="shared" si="25"/>
        <v>0</v>
      </c>
      <c r="H51" s="1275">
        <f t="shared" si="25"/>
        <v>0</v>
      </c>
      <c r="I51" s="1275">
        <f t="shared" si="25"/>
        <v>38842.633371384953</v>
      </c>
      <c r="J51" s="1275">
        <f t="shared" si="25"/>
        <v>501280.54514961899</v>
      </c>
      <c r="K51" s="1275">
        <f t="shared" si="25"/>
        <v>108623.90012008874</v>
      </c>
      <c r="L51" s="1275">
        <f t="shared" si="25"/>
        <v>40956.077971142709</v>
      </c>
      <c r="M51" s="1275">
        <f t="shared" si="25"/>
        <v>285764.35326681845</v>
      </c>
      <c r="N51" s="1275">
        <f t="shared" si="25"/>
        <v>11693.339085741118</v>
      </c>
      <c r="O51" s="1275">
        <f t="shared" si="25"/>
        <v>0</v>
      </c>
      <c r="P51" s="1275">
        <f t="shared" si="25"/>
        <v>0</v>
      </c>
      <c r="Q51" s="1275">
        <f t="shared" si="25"/>
        <v>0</v>
      </c>
      <c r="R51" s="1275">
        <f>SUM(D51:Q51)</f>
        <v>987160.84896479489</v>
      </c>
      <c r="S51" s="1277">
        <f>R51/R19</f>
        <v>4.0413358135812115E-2</v>
      </c>
      <c r="T51" s="1274" t="s">
        <v>1042</v>
      </c>
    </row>
    <row r="52" spans="1:23">
      <c r="A52" s="1273">
        <f>A20</f>
        <v>2019</v>
      </c>
      <c r="B52" s="1273" t="str">
        <f t="shared" si="23"/>
        <v>PICHINCHA</v>
      </c>
      <c r="C52" s="1274" t="str">
        <f t="shared" si="23"/>
        <v>Quito</v>
      </c>
      <c r="D52" s="1275">
        <f>D20*D48</f>
        <v>0</v>
      </c>
      <c r="E52" s="1275">
        <f t="shared" ref="E52:Q52" si="26">E20*E48</f>
        <v>0</v>
      </c>
      <c r="F52" s="1275">
        <f t="shared" si="26"/>
        <v>0</v>
      </c>
      <c r="G52" s="1275">
        <f t="shared" si="26"/>
        <v>0</v>
      </c>
      <c r="H52" s="1275">
        <f t="shared" si="26"/>
        <v>0</v>
      </c>
      <c r="I52" s="1275">
        <f t="shared" si="26"/>
        <v>38842.633371384953</v>
      </c>
      <c r="J52" s="1275">
        <f t="shared" si="26"/>
        <v>501280.54514961899</v>
      </c>
      <c r="K52" s="1275">
        <f t="shared" si="26"/>
        <v>108623.90012008874</v>
      </c>
      <c r="L52" s="1275">
        <f t="shared" si="26"/>
        <v>40956.077971142709</v>
      </c>
      <c r="M52" s="1275">
        <f t="shared" si="26"/>
        <v>285764.35326681845</v>
      </c>
      <c r="N52" s="1275">
        <f t="shared" si="26"/>
        <v>11693.339085741118</v>
      </c>
      <c r="O52" s="1275">
        <f t="shared" si="26"/>
        <v>0</v>
      </c>
      <c r="P52" s="1275">
        <f t="shared" si="26"/>
        <v>0</v>
      </c>
      <c r="Q52" s="1275">
        <f t="shared" si="26"/>
        <v>0</v>
      </c>
      <c r="R52" s="1275">
        <f>SUM(D52:Q52)</f>
        <v>987160.84896479489</v>
      </c>
      <c r="S52" s="1277">
        <f>R52/R20</f>
        <v>4.0413358135812115E-2</v>
      </c>
      <c r="T52" s="1274" t="s">
        <v>1042</v>
      </c>
    </row>
    <row r="54" spans="1:23" ht="15" thickBot="1"/>
    <row r="55" spans="1:23" s="1188" customFormat="1" ht="28.2" thickBot="1">
      <c r="A55" s="684"/>
      <c r="B55" s="684"/>
      <c r="C55" s="1285" t="s">
        <v>1043</v>
      </c>
      <c r="D55" s="1278"/>
      <c r="E55" s="1278"/>
      <c r="F55" s="1278"/>
      <c r="G55" s="1278"/>
      <c r="H55" s="1278"/>
      <c r="I55" s="1278">
        <v>2.4296168541821025E-2</v>
      </c>
      <c r="J55" s="1278">
        <v>0.27757035691790694</v>
      </c>
      <c r="K55" s="1278">
        <v>2.3976350305267579E-2</v>
      </c>
      <c r="L55" s="1278">
        <v>2.6486874543632084E-2</v>
      </c>
      <c r="M55" s="1278">
        <v>5.6161314544625786E-2</v>
      </c>
      <c r="N55" s="1278">
        <v>2.7272334406707008E-3</v>
      </c>
      <c r="O55" s="1278"/>
      <c r="P55" s="1278"/>
      <c r="Q55" s="1278"/>
      <c r="R55" s="684"/>
      <c r="S55" s="684"/>
      <c r="T55" s="684"/>
      <c r="U55" s="684"/>
      <c r="V55" s="684"/>
      <c r="W55" s="684"/>
    </row>
    <row r="56" spans="1:23" ht="42" thickBot="1">
      <c r="A56" s="678" t="s">
        <v>196</v>
      </c>
      <c r="B56" s="678" t="s">
        <v>480</v>
      </c>
      <c r="C56" s="679" t="s">
        <v>481</v>
      </c>
      <c r="D56" s="691" t="s">
        <v>790</v>
      </c>
      <c r="E56" s="692" t="s">
        <v>791</v>
      </c>
      <c r="F56" s="692" t="s">
        <v>792</v>
      </c>
      <c r="G56" s="692" t="s">
        <v>793</v>
      </c>
      <c r="H56" s="692" t="s">
        <v>794</v>
      </c>
      <c r="I56" s="692" t="s">
        <v>795</v>
      </c>
      <c r="J56" s="693" t="s">
        <v>796</v>
      </c>
      <c r="K56" s="692" t="s">
        <v>797</v>
      </c>
      <c r="L56" s="692" t="s">
        <v>798</v>
      </c>
      <c r="M56" s="692" t="s">
        <v>799</v>
      </c>
      <c r="N56" s="692" t="s">
        <v>800</v>
      </c>
      <c r="O56" s="692" t="s">
        <v>801</v>
      </c>
      <c r="P56" s="692" t="s">
        <v>802</v>
      </c>
      <c r="Q56" s="694" t="s">
        <v>803</v>
      </c>
      <c r="R56" s="695" t="s">
        <v>804</v>
      </c>
      <c r="S56" s="696" t="s">
        <v>805</v>
      </c>
      <c r="T56" s="696" t="s">
        <v>806</v>
      </c>
    </row>
    <row r="57" spans="1:23">
      <c r="A57" s="1308">
        <f t="shared" ref="A57:C59" si="27">A18</f>
        <v>2017</v>
      </c>
      <c r="B57" s="1309" t="str">
        <f t="shared" si="27"/>
        <v>PICHINCHA</v>
      </c>
      <c r="C57" s="1282" t="str">
        <f t="shared" si="27"/>
        <v>Quito</v>
      </c>
      <c r="D57" s="1280">
        <f t="shared" ref="D57:Q57" si="28">D18*D55</f>
        <v>0</v>
      </c>
      <c r="E57" s="1280">
        <f t="shared" si="28"/>
        <v>0</v>
      </c>
      <c r="F57" s="1280">
        <f t="shared" si="28"/>
        <v>0</v>
      </c>
      <c r="G57" s="1280">
        <f t="shared" si="28"/>
        <v>0</v>
      </c>
      <c r="H57" s="1280">
        <f t="shared" si="28"/>
        <v>0</v>
      </c>
      <c r="I57" s="1280">
        <f t="shared" si="28"/>
        <v>37749.086679973225</v>
      </c>
      <c r="J57" s="1280">
        <f t="shared" si="28"/>
        <v>162737.56705635405</v>
      </c>
      <c r="K57" s="1280">
        <f t="shared" si="28"/>
        <v>40067.764320056071</v>
      </c>
      <c r="L57" s="1280">
        <f t="shared" si="28"/>
        <v>40177.72218595817</v>
      </c>
      <c r="M57" s="1280">
        <f t="shared" si="28"/>
        <v>274340.20050357864</v>
      </c>
      <c r="N57" s="1280">
        <f t="shared" si="28"/>
        <v>10630.155129244979</v>
      </c>
      <c r="O57" s="1280">
        <f t="shared" si="28"/>
        <v>0</v>
      </c>
      <c r="P57" s="1280">
        <f t="shared" si="28"/>
        <v>0</v>
      </c>
      <c r="Q57" s="1280">
        <f t="shared" si="28"/>
        <v>0</v>
      </c>
      <c r="R57" s="1280">
        <f>SUM(D57:Q57)</f>
        <v>565702.4958751651</v>
      </c>
      <c r="S57" s="1281">
        <f>R57/R18</f>
        <v>2.3159283097684061E-2</v>
      </c>
      <c r="T57" s="1282" t="s">
        <v>1042</v>
      </c>
      <c r="U57" s="1279"/>
      <c r="V57" s="1279"/>
      <c r="W57" s="1279"/>
    </row>
    <row r="58" spans="1:23">
      <c r="A58" s="1308">
        <f t="shared" si="27"/>
        <v>2018</v>
      </c>
      <c r="B58" s="1309" t="str">
        <f t="shared" si="27"/>
        <v>PICHINCHA</v>
      </c>
      <c r="C58" s="1282" t="str">
        <f t="shared" si="27"/>
        <v>Quito</v>
      </c>
      <c r="D58" s="1280">
        <f t="shared" ref="D58:Q58" si="29">D19*D55</f>
        <v>0</v>
      </c>
      <c r="E58" s="1280">
        <f t="shared" si="29"/>
        <v>0</v>
      </c>
      <c r="F58" s="1280">
        <f t="shared" si="29"/>
        <v>0</v>
      </c>
      <c r="G58" s="1280">
        <f t="shared" si="29"/>
        <v>0</v>
      </c>
      <c r="H58" s="1280">
        <f t="shared" si="29"/>
        <v>0</v>
      </c>
      <c r="I58" s="1280">
        <f t="shared" si="29"/>
        <v>37749.086679973225</v>
      </c>
      <c r="J58" s="1280">
        <f t="shared" si="29"/>
        <v>162737.56705635405</v>
      </c>
      <c r="K58" s="1280">
        <f t="shared" si="29"/>
        <v>40067.764320056071</v>
      </c>
      <c r="L58" s="1280">
        <f t="shared" si="29"/>
        <v>40177.72218595817</v>
      </c>
      <c r="M58" s="1280">
        <f t="shared" si="29"/>
        <v>274340.20050357864</v>
      </c>
      <c r="N58" s="1280">
        <f t="shared" si="29"/>
        <v>10630.155129244979</v>
      </c>
      <c r="O58" s="1280">
        <f t="shared" si="29"/>
        <v>0</v>
      </c>
      <c r="P58" s="1280">
        <f t="shared" si="29"/>
        <v>0</v>
      </c>
      <c r="Q58" s="1280">
        <f t="shared" si="29"/>
        <v>0</v>
      </c>
      <c r="R58" s="1280">
        <f>SUM(D58:Q58)</f>
        <v>565702.4958751651</v>
      </c>
      <c r="S58" s="1281">
        <f>R58/R19</f>
        <v>2.3159283097684061E-2</v>
      </c>
      <c r="T58" s="1282" t="s">
        <v>1042</v>
      </c>
      <c r="U58" s="1279"/>
      <c r="V58" s="1279"/>
      <c r="W58" s="1279"/>
    </row>
    <row r="59" spans="1:23">
      <c r="A59" s="1308">
        <f t="shared" si="27"/>
        <v>2019</v>
      </c>
      <c r="B59" s="1309" t="str">
        <f t="shared" si="27"/>
        <v>PICHINCHA</v>
      </c>
      <c r="C59" s="1282" t="str">
        <f t="shared" si="27"/>
        <v>Quito</v>
      </c>
      <c r="D59" s="1280">
        <f t="shared" ref="D59:Q59" si="30">D20*D55</f>
        <v>0</v>
      </c>
      <c r="E59" s="1280">
        <f t="shared" si="30"/>
        <v>0</v>
      </c>
      <c r="F59" s="1280">
        <f t="shared" si="30"/>
        <v>0</v>
      </c>
      <c r="G59" s="1280">
        <f t="shared" si="30"/>
        <v>0</v>
      </c>
      <c r="H59" s="1280">
        <f t="shared" si="30"/>
        <v>0</v>
      </c>
      <c r="I59" s="1280">
        <f t="shared" si="30"/>
        <v>37749.086679973225</v>
      </c>
      <c r="J59" s="1280">
        <f t="shared" si="30"/>
        <v>162737.56705635405</v>
      </c>
      <c r="K59" s="1280">
        <f t="shared" si="30"/>
        <v>40067.764320056071</v>
      </c>
      <c r="L59" s="1280">
        <f t="shared" si="30"/>
        <v>40177.72218595817</v>
      </c>
      <c r="M59" s="1280">
        <f t="shared" si="30"/>
        <v>274340.20050357864</v>
      </c>
      <c r="N59" s="1280">
        <f t="shared" si="30"/>
        <v>10630.155129244979</v>
      </c>
      <c r="O59" s="1280">
        <f t="shared" si="30"/>
        <v>0</v>
      </c>
      <c r="P59" s="1280">
        <f t="shared" si="30"/>
        <v>0</v>
      </c>
      <c r="Q59" s="1280">
        <f t="shared" si="30"/>
        <v>0</v>
      </c>
      <c r="R59" s="1280">
        <f>SUM(D59:Q59)</f>
        <v>565702.4958751651</v>
      </c>
      <c r="S59" s="1281">
        <f>R59/R20</f>
        <v>2.3159283097684061E-2</v>
      </c>
      <c r="T59" s="1282" t="s">
        <v>1042</v>
      </c>
      <c r="U59" s="1279"/>
      <c r="V59" s="1279"/>
      <c r="W59" s="1279"/>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3857-1851-4CFB-8E46-EAE8E123D4B9}">
  <dimension ref="A32:K40"/>
  <sheetViews>
    <sheetView topLeftCell="A25" zoomScale="70" zoomScaleNormal="70" workbookViewId="0">
      <selection activeCell="E37" sqref="E37"/>
    </sheetView>
  </sheetViews>
  <sheetFormatPr baseColWidth="10" defaultRowHeight="14.4"/>
  <cols>
    <col min="1" max="1" width="22.6640625" style="4500" customWidth="1"/>
    <col min="2" max="11" width="13.77734375" style="21" customWidth="1"/>
    <col min="12" max="16384" width="11.5546875" style="4500"/>
  </cols>
  <sheetData>
    <row r="32" spans="1:11" ht="28.8">
      <c r="A32" s="5115"/>
      <c r="B32" s="4990" t="s">
        <v>1647</v>
      </c>
      <c r="C32" s="4990" t="s">
        <v>1648</v>
      </c>
      <c r="D32" s="4990" t="s">
        <v>1649</v>
      </c>
      <c r="E32" s="4990" t="s">
        <v>1650</v>
      </c>
      <c r="F32" s="4990" t="s">
        <v>1988</v>
      </c>
      <c r="G32" s="4990" t="s">
        <v>1989</v>
      </c>
      <c r="H32" s="4990" t="s">
        <v>1653</v>
      </c>
      <c r="I32" s="4990" t="s">
        <v>1990</v>
      </c>
      <c r="J32" s="4990" t="s">
        <v>1655</v>
      </c>
      <c r="K32" s="4990" t="s">
        <v>1991</v>
      </c>
    </row>
    <row r="33" spans="1:11">
      <c r="A33" s="5116" t="s">
        <v>1859</v>
      </c>
      <c r="B33" s="5117">
        <v>126886</v>
      </c>
      <c r="C33" s="5117">
        <v>88950</v>
      </c>
      <c r="D33" s="5117">
        <v>93403.01</v>
      </c>
      <c r="E33" s="5117">
        <v>94097.44</v>
      </c>
      <c r="F33" s="5117">
        <v>104598.5</v>
      </c>
      <c r="G33" s="5117">
        <v>0</v>
      </c>
      <c r="H33" s="5117">
        <v>83420.820000000007</v>
      </c>
      <c r="I33" s="5117">
        <v>104756.7</v>
      </c>
      <c r="J33" s="5117">
        <v>0</v>
      </c>
      <c r="K33" s="5117">
        <v>0</v>
      </c>
    </row>
    <row r="34" spans="1:11">
      <c r="A34" s="5118" t="s">
        <v>1860</v>
      </c>
      <c r="B34" s="5117">
        <v>166886</v>
      </c>
      <c r="C34" s="5117">
        <v>0</v>
      </c>
      <c r="D34" s="5117">
        <v>0</v>
      </c>
      <c r="E34" s="5117">
        <v>0</v>
      </c>
      <c r="F34" s="5117">
        <v>1634</v>
      </c>
      <c r="G34" s="5117">
        <v>29214</v>
      </c>
      <c r="H34" s="5117">
        <v>54832</v>
      </c>
      <c r="I34" s="5117">
        <v>35155</v>
      </c>
      <c r="J34" s="5117">
        <v>0</v>
      </c>
      <c r="K34" s="5117">
        <v>0</v>
      </c>
    </row>
    <row r="35" spans="1:11">
      <c r="A35" s="5118" t="s">
        <v>1861</v>
      </c>
      <c r="B35" s="5117">
        <v>37083</v>
      </c>
      <c r="C35" s="5117">
        <v>16671</v>
      </c>
      <c r="D35" s="5117">
        <v>33631</v>
      </c>
      <c r="E35" s="5117">
        <v>46692</v>
      </c>
      <c r="F35" s="5117">
        <v>96357</v>
      </c>
      <c r="G35" s="5117">
        <v>52996</v>
      </c>
      <c r="H35" s="5117">
        <v>90956</v>
      </c>
      <c r="I35" s="5117">
        <v>64599</v>
      </c>
      <c r="J35" s="5117">
        <v>70507</v>
      </c>
      <c r="K35" s="5117">
        <v>62692</v>
      </c>
    </row>
    <row r="36" spans="1:11">
      <c r="A36" s="5116" t="s">
        <v>1862</v>
      </c>
      <c r="B36" s="5119">
        <v>90841</v>
      </c>
      <c r="C36" s="5117">
        <v>82898</v>
      </c>
      <c r="D36" s="5117">
        <v>74967</v>
      </c>
      <c r="E36" s="5117">
        <v>83294</v>
      </c>
      <c r="F36" s="5117">
        <v>0</v>
      </c>
      <c r="G36" s="5117">
        <v>0</v>
      </c>
      <c r="H36" s="5117">
        <v>0</v>
      </c>
      <c r="I36" s="5117">
        <v>0</v>
      </c>
      <c r="J36" s="5117">
        <v>0</v>
      </c>
      <c r="K36" s="5117">
        <v>0</v>
      </c>
    </row>
    <row r="37" spans="1:11">
      <c r="A37" s="5116" t="s">
        <v>1864</v>
      </c>
      <c r="B37" s="5117">
        <f>B33*100</f>
        <v>12688600</v>
      </c>
      <c r="C37" s="5117">
        <f>C33*100</f>
        <v>8895000</v>
      </c>
      <c r="D37" s="5117">
        <f>D33*100</f>
        <v>9340301</v>
      </c>
      <c r="E37" s="5117">
        <f>E33*100</f>
        <v>9409744</v>
      </c>
      <c r="F37" s="5117">
        <f>F33*100</f>
        <v>10459850</v>
      </c>
      <c r="G37" s="5117">
        <v>0</v>
      </c>
      <c r="H37" s="5117">
        <f>H33*100</f>
        <v>8342082.0000000009</v>
      </c>
      <c r="I37" s="5117">
        <f>I33*100</f>
        <v>10475670</v>
      </c>
      <c r="J37" s="5117">
        <v>0</v>
      </c>
      <c r="K37" s="5117">
        <v>0</v>
      </c>
    </row>
    <row r="38" spans="1:11">
      <c r="A38" s="5118" t="s">
        <v>1865</v>
      </c>
      <c r="B38" s="5117">
        <v>16688600</v>
      </c>
      <c r="C38" s="5117">
        <v>0</v>
      </c>
      <c r="D38" s="5117">
        <v>0</v>
      </c>
      <c r="E38" s="5117">
        <v>0</v>
      </c>
      <c r="F38" s="5117">
        <v>163400</v>
      </c>
      <c r="G38" s="5117">
        <v>2921400</v>
      </c>
      <c r="H38" s="5117">
        <v>5483200</v>
      </c>
      <c r="I38" s="5117">
        <v>3515500</v>
      </c>
      <c r="J38" s="5117">
        <v>0</v>
      </c>
      <c r="K38" s="5117">
        <v>0</v>
      </c>
    </row>
    <row r="39" spans="1:11">
      <c r="A39" s="5118" t="s">
        <v>1866</v>
      </c>
      <c r="B39" s="5117">
        <v>3708300</v>
      </c>
      <c r="C39" s="5117">
        <v>1667100</v>
      </c>
      <c r="D39" s="5117">
        <v>3363100</v>
      </c>
      <c r="E39" s="5117">
        <v>3275600</v>
      </c>
      <c r="F39" s="5117">
        <v>9635700</v>
      </c>
      <c r="G39" s="5117">
        <v>5299600</v>
      </c>
      <c r="H39" s="5117">
        <v>9095600</v>
      </c>
      <c r="I39" s="5117">
        <v>6459900</v>
      </c>
      <c r="J39" s="5117">
        <v>7050700</v>
      </c>
      <c r="K39" s="5117">
        <v>6269200</v>
      </c>
    </row>
    <row r="40" spans="1:11">
      <c r="A40" s="5116" t="s">
        <v>1867</v>
      </c>
      <c r="B40" s="5119">
        <f>90841*100</f>
        <v>9084100</v>
      </c>
      <c r="C40" s="5117">
        <f>C36*100</f>
        <v>8289800</v>
      </c>
      <c r="D40" s="5117">
        <v>5139420</v>
      </c>
      <c r="E40" s="5117">
        <v>6043640</v>
      </c>
      <c r="F40" s="5117">
        <v>0</v>
      </c>
      <c r="G40" s="5117">
        <v>0</v>
      </c>
      <c r="H40" s="5117">
        <v>0</v>
      </c>
      <c r="I40" s="5117">
        <v>0</v>
      </c>
      <c r="J40" s="5117">
        <v>0</v>
      </c>
      <c r="K40" s="5117">
        <v>0</v>
      </c>
    </row>
  </sheetData>
  <pageMargins left="0.7" right="0.7" top="0.75" bottom="0.75" header="0.3" footer="0.3"/>
  <pageSetup orientation="portrait" verticalDpi="597"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F50A-EF4E-4729-9E00-C31F10B49584}">
  <sheetPr>
    <tabColor theme="7" tint="0.39997558519241921"/>
    <pageSetUpPr fitToPage="1"/>
  </sheetPr>
  <dimension ref="A1:T58"/>
  <sheetViews>
    <sheetView workbookViewId="0">
      <pane xSplit="4" ySplit="3" topLeftCell="E33" activePane="bottomRight" state="frozen"/>
      <selection sqref="A1:XFD3"/>
      <selection pane="topRight" sqref="A1:XFD3"/>
      <selection pane="bottomLeft" sqref="A1:XFD3"/>
      <selection pane="bottomRight" activeCell="H41" sqref="H41"/>
    </sheetView>
  </sheetViews>
  <sheetFormatPr baseColWidth="10" defaultRowHeight="14.4"/>
  <cols>
    <col min="2" max="2" width="4.109375" bestFit="1" customWidth="1"/>
    <col min="3" max="3" width="27.21875" bestFit="1" customWidth="1"/>
    <col min="4" max="4" width="13.5546875" bestFit="1" customWidth="1"/>
    <col min="5" max="5" width="11.88671875" bestFit="1" customWidth="1"/>
    <col min="6" max="6" width="9.44140625" bestFit="1" customWidth="1"/>
    <col min="7" max="7" width="11.77734375" bestFit="1" customWidth="1"/>
    <col min="8" max="8" width="8.33203125" bestFit="1" customWidth="1"/>
    <col min="9" max="9" width="12.6640625" bestFit="1" customWidth="1"/>
    <col min="10" max="10" width="12.6640625" customWidth="1"/>
    <col min="11" max="11" width="9" bestFit="1" customWidth="1"/>
    <col min="12" max="12" width="8.44140625" bestFit="1" customWidth="1"/>
    <col min="13" max="15" width="10.88671875" customWidth="1"/>
    <col min="16" max="16" width="10.21875" customWidth="1"/>
    <col min="17" max="18" width="10.21875" style="22" customWidth="1"/>
    <col min="19" max="19" width="7" style="22" bestFit="1" customWidth="1"/>
    <col min="20" max="20" width="4.33203125" style="22" bestFit="1" customWidth="1"/>
  </cols>
  <sheetData>
    <row r="1" spans="1:20" ht="21" customHeight="1">
      <c r="B1" s="5583" t="s">
        <v>1644</v>
      </c>
      <c r="C1" s="5583"/>
      <c r="D1" s="5583"/>
      <c r="E1" s="5583"/>
      <c r="F1" s="5583"/>
      <c r="G1" s="5583"/>
      <c r="H1" s="5583"/>
      <c r="I1" s="5583"/>
      <c r="J1" s="5583"/>
      <c r="K1" s="5583"/>
      <c r="L1" s="5583"/>
      <c r="M1" s="5583"/>
      <c r="N1" s="5583"/>
      <c r="O1" s="5583"/>
      <c r="P1" s="5583"/>
      <c r="Q1" s="5583"/>
      <c r="R1" s="5583"/>
    </row>
    <row r="2" spans="1:20" ht="15" thickBot="1">
      <c r="B2" s="3982"/>
      <c r="C2" s="42"/>
      <c r="D2" s="3982"/>
      <c r="E2" s="42"/>
      <c r="F2" s="42"/>
      <c r="G2" s="42"/>
      <c r="H2" s="42"/>
      <c r="I2" s="42"/>
      <c r="J2" s="42"/>
      <c r="K2" s="42"/>
      <c r="L2" s="42"/>
      <c r="M2" s="42"/>
      <c r="N2" s="42"/>
      <c r="O2" s="42"/>
      <c r="P2" s="4077"/>
      <c r="Q2" s="42"/>
      <c r="R2" s="42"/>
    </row>
    <row r="3" spans="1:20" ht="28.2" thickBot="1">
      <c r="B3" s="2217" t="s">
        <v>535</v>
      </c>
      <c r="C3" s="3980" t="s">
        <v>1645</v>
      </c>
      <c r="D3" s="3983" t="s">
        <v>1646</v>
      </c>
      <c r="E3" s="3984" t="s">
        <v>1647</v>
      </c>
      <c r="F3" s="3980" t="s">
        <v>1648</v>
      </c>
      <c r="G3" s="3984" t="s">
        <v>1649</v>
      </c>
      <c r="H3" s="3980" t="s">
        <v>1650</v>
      </c>
      <c r="I3" s="3984" t="s">
        <v>1651</v>
      </c>
      <c r="J3" s="3980" t="s">
        <v>1652</v>
      </c>
      <c r="K3" s="3984" t="s">
        <v>1653</v>
      </c>
      <c r="L3" s="3980" t="s">
        <v>1654</v>
      </c>
      <c r="M3" s="3984" t="s">
        <v>1655</v>
      </c>
      <c r="N3" s="3984" t="s">
        <v>1656</v>
      </c>
      <c r="O3" s="4441" t="s">
        <v>1868</v>
      </c>
      <c r="P3" s="4077"/>
      <c r="Q3" s="3985" t="s">
        <v>1657</v>
      </c>
      <c r="R3" s="3986" t="s">
        <v>1658</v>
      </c>
    </row>
    <row r="4" spans="1:20" ht="20.399999999999999">
      <c r="A4" s="3987" t="s">
        <v>1659</v>
      </c>
      <c r="B4" s="3987">
        <v>2018</v>
      </c>
      <c r="C4" s="3988" t="s">
        <v>1660</v>
      </c>
      <c r="D4" s="3989" t="s">
        <v>1661</v>
      </c>
      <c r="E4" s="3990">
        <f>'FEB-MAR-Carnaval'!H6</f>
        <v>7575</v>
      </c>
      <c r="F4" s="3991">
        <f>'ABR-Semana Santa'!G6</f>
        <v>4967</v>
      </c>
      <c r="G4" s="3990">
        <f>'MAY-Trabajo'!H6</f>
        <v>6167</v>
      </c>
      <c r="H4" s="3992">
        <f>'MAY-Bat Pich'!H6</f>
        <v>5372</v>
      </c>
      <c r="I4" s="3990">
        <f>'AGO-Primer grito'!G6</f>
        <v>7175</v>
      </c>
      <c r="J4" s="3992"/>
      <c r="K4" s="3990">
        <f>'NOV-Finados'!G6</f>
        <v>6891</v>
      </c>
      <c r="L4" s="3992">
        <f>'DIC-FFQQ'!G6</f>
        <v>10735</v>
      </c>
      <c r="M4" s="3990"/>
      <c r="N4" s="3990"/>
      <c r="O4" s="4442">
        <f>SUM(M4:N4)</f>
        <v>0</v>
      </c>
      <c r="P4" s="4077"/>
      <c r="Q4" s="3993">
        <f t="shared" ref="Q4:Q17" si="0">SUM(E4:N4)</f>
        <v>48882</v>
      </c>
      <c r="R4" s="3994"/>
    </row>
    <row r="5" spans="1:20" ht="31.2" thickBot="1">
      <c r="A5" s="3995" t="s">
        <v>1659</v>
      </c>
      <c r="B5" s="3995">
        <v>2018</v>
      </c>
      <c r="C5" s="3996" t="s">
        <v>1662</v>
      </c>
      <c r="D5" s="3997" t="s">
        <v>1663</v>
      </c>
      <c r="E5" s="3998">
        <f>'FEB-MAR-Carnaval'!W8</f>
        <v>114948</v>
      </c>
      <c r="F5" s="3999">
        <f>'ABR-Semana Santa'!V8</f>
        <v>93180</v>
      </c>
      <c r="G5" s="3998">
        <f>'MAY-Trabajo'!W8</f>
        <v>118600</v>
      </c>
      <c r="H5" s="3999">
        <f>'MAY-Bat Pich'!W8</f>
        <v>90740</v>
      </c>
      <c r="I5" s="3998">
        <f>'AGO-Primer grito'!W9</f>
        <v>91613</v>
      </c>
      <c r="J5" s="3999"/>
      <c r="K5" s="3998">
        <f>'NOV-Finados'!W8</f>
        <v>81622</v>
      </c>
      <c r="L5" s="3999">
        <f>'DIC-FFQQ'!Y8</f>
        <v>86360</v>
      </c>
      <c r="M5" s="3998"/>
      <c r="N5" s="3998"/>
      <c r="O5" s="4443">
        <f t="shared" ref="O5:O14" si="1">SUM(M5:N5)</f>
        <v>0</v>
      </c>
      <c r="P5" s="4077"/>
      <c r="Q5" s="4000">
        <f t="shared" si="0"/>
        <v>677063</v>
      </c>
      <c r="R5" s="3994"/>
    </row>
    <row r="6" spans="1:20" ht="20.399999999999999">
      <c r="A6" s="4001" t="s">
        <v>1659</v>
      </c>
      <c r="B6" s="4001">
        <v>2019</v>
      </c>
      <c r="C6" s="4002" t="s">
        <v>1660</v>
      </c>
      <c r="D6" s="4003" t="s">
        <v>1664</v>
      </c>
      <c r="E6" s="4004">
        <f>'FEB-MAR-Carnaval'!I6</f>
        <v>6964</v>
      </c>
      <c r="F6" s="4005">
        <f>'ABR-Semana Santa'!H6</f>
        <v>5622</v>
      </c>
      <c r="G6" s="4004">
        <f>'MAY-Trabajo'!I6</f>
        <v>6352.01</v>
      </c>
      <c r="H6" s="4006">
        <f>'MAY-Bat Pich'!I6</f>
        <v>5479.4400000000005</v>
      </c>
      <c r="I6" s="4004">
        <f>'AGO-Primer grito'!H6</f>
        <v>7318.5</v>
      </c>
      <c r="J6" s="4006"/>
      <c r="K6" s="4004">
        <f>'NOV-Finados'!H6</f>
        <v>7028.82</v>
      </c>
      <c r="L6" s="4006">
        <f>'DIC-FFQQ'!H6</f>
        <v>10949.7</v>
      </c>
      <c r="M6" s="4004"/>
      <c r="N6" s="4004"/>
      <c r="O6" s="4444">
        <f t="shared" si="1"/>
        <v>0</v>
      </c>
      <c r="P6" s="4077"/>
      <c r="Q6" s="4007">
        <f t="shared" si="0"/>
        <v>49714.47</v>
      </c>
      <c r="R6" s="4008">
        <f>IF(Q4=0,"",Q6/Q4-1)</f>
        <v>1.7030195163864059E-2</v>
      </c>
    </row>
    <row r="7" spans="1:20" ht="31.2" thickBot="1">
      <c r="A7" s="4009" t="s">
        <v>1659</v>
      </c>
      <c r="B7" s="4009">
        <v>2019</v>
      </c>
      <c r="C7" s="4010" t="s">
        <v>1662</v>
      </c>
      <c r="D7" s="4011" t="s">
        <v>1663</v>
      </c>
      <c r="E7" s="4012">
        <f>'FEB-MAR-Carnaval'!X8</f>
        <v>119922</v>
      </c>
      <c r="F7" s="4013">
        <f>'ABR-Semana Santa'!W8</f>
        <v>83328</v>
      </c>
      <c r="G7" s="4012">
        <f>'MAY-Trabajo'!X8</f>
        <v>87051</v>
      </c>
      <c r="H7" s="4013">
        <f>'MAY-Bat Pich'!X8</f>
        <v>88618</v>
      </c>
      <c r="I7" s="4012">
        <f>'AGO-Primer grito'!X9</f>
        <v>97280</v>
      </c>
      <c r="J7" s="4013"/>
      <c r="K7" s="4012">
        <f>'NOV-Finados'!X8</f>
        <v>76392</v>
      </c>
      <c r="L7" s="4013">
        <f>'DIC-FFQQ'!Z8</f>
        <v>93807</v>
      </c>
      <c r="M7" s="4012"/>
      <c r="N7" s="4012"/>
      <c r="O7" s="4445">
        <f t="shared" si="1"/>
        <v>0</v>
      </c>
      <c r="P7" s="4077"/>
      <c r="Q7" s="4014">
        <f t="shared" si="0"/>
        <v>646398</v>
      </c>
      <c r="R7" s="4015">
        <f>IF(Q5=0,"",Q7/Q5-1)</f>
        <v>-4.5291206283610275E-2</v>
      </c>
    </row>
    <row r="8" spans="1:20">
      <c r="A8" s="4016" t="s">
        <v>1659</v>
      </c>
      <c r="B8" s="4016">
        <v>2020</v>
      </c>
      <c r="C8" s="4017" t="s">
        <v>1660</v>
      </c>
      <c r="D8" s="4018" t="s">
        <v>1665</v>
      </c>
      <c r="E8" s="4019">
        <f>'FEB-MAR-Carnaval'!J6</f>
        <v>6964</v>
      </c>
      <c r="F8" s="4020">
        <f>'ABR-Semana Santa'!I6</f>
        <v>0</v>
      </c>
      <c r="G8" s="4019">
        <f>'MAY-Trabajo'!J6</f>
        <v>0</v>
      </c>
      <c r="H8" s="4021">
        <f>'MAY-Bat Pich'!J6</f>
        <v>0</v>
      </c>
      <c r="I8" s="4019">
        <f>'AGO-Primer grito'!J6</f>
        <v>904</v>
      </c>
      <c r="J8" s="4021">
        <f>'OCT-Ind.GYE'!D6</f>
        <v>2153</v>
      </c>
      <c r="K8" s="4019">
        <f>'NOV-Finados'!J6</f>
        <v>2885</v>
      </c>
      <c r="L8" s="4021">
        <f>'DIC-FFQQ'!J6</f>
        <v>5017</v>
      </c>
      <c r="M8" s="4019"/>
      <c r="N8" s="4019"/>
      <c r="O8" s="4446">
        <f t="shared" si="1"/>
        <v>0</v>
      </c>
      <c r="P8" s="4077"/>
      <c r="Q8" s="4022">
        <f t="shared" si="0"/>
        <v>17923</v>
      </c>
      <c r="R8" s="4023">
        <f>IF(Q6=0,"",Q8/Q6-1)</f>
        <v>-0.63948122146328834</v>
      </c>
      <c r="S8" s="4024">
        <f>SUM(Q8:Q9)</f>
        <v>27560</v>
      </c>
    </row>
    <row r="9" spans="1:20">
      <c r="A9" s="4025" t="s">
        <v>1659</v>
      </c>
      <c r="B9" s="4025">
        <v>2020</v>
      </c>
      <c r="C9" s="4026" t="s">
        <v>1666</v>
      </c>
      <c r="D9" s="4027" t="s">
        <v>1667</v>
      </c>
      <c r="E9" s="4028"/>
      <c r="F9" s="4029">
        <f>'ABR-Semana Santa'!X8</f>
        <v>0</v>
      </c>
      <c r="G9" s="4028">
        <f>'MAY-Trabajo'!Y8</f>
        <v>0</v>
      </c>
      <c r="H9" s="4029">
        <f>'MAY-Bat Pich'!Y8</f>
        <v>0</v>
      </c>
      <c r="I9" s="4028">
        <f>'AGO-Primer grito'!I6</f>
        <v>730</v>
      </c>
      <c r="J9" s="4029">
        <f>'OCT-Ind.GYE'!C6</f>
        <v>2420</v>
      </c>
      <c r="K9" s="4028">
        <f>'NOV-Finados'!I6</f>
        <v>2621</v>
      </c>
      <c r="L9" s="4029">
        <f>'DIC-FFQQ'!I6</f>
        <v>3866</v>
      </c>
      <c r="M9" s="4028"/>
      <c r="N9" s="4028"/>
      <c r="O9" s="4447">
        <f t="shared" si="1"/>
        <v>0</v>
      </c>
      <c r="P9" s="4077"/>
      <c r="Q9" s="4030">
        <f t="shared" si="0"/>
        <v>9637</v>
      </c>
      <c r="R9" s="4031">
        <f>IF(Q7=0,"",Q9/Q7-1)</f>
        <v>-0.9850912286238509</v>
      </c>
    </row>
    <row r="10" spans="1:20">
      <c r="A10" s="4025"/>
      <c r="B10" s="4025">
        <v>2020</v>
      </c>
      <c r="C10" s="4026" t="s">
        <v>1668</v>
      </c>
      <c r="D10" s="4027"/>
      <c r="E10" s="4028">
        <f>'FEB-MAR-Carnaval'!Y15</f>
        <v>40000</v>
      </c>
      <c r="F10" s="4029"/>
      <c r="G10" s="4028"/>
      <c r="H10" s="4029"/>
      <c r="I10" s="4028"/>
      <c r="J10" s="4029"/>
      <c r="K10" s="4028"/>
      <c r="L10" s="4029"/>
      <c r="M10" s="4028"/>
      <c r="N10" s="4028"/>
      <c r="O10" s="4447">
        <f t="shared" si="1"/>
        <v>0</v>
      </c>
      <c r="P10" s="4077"/>
      <c r="Q10" s="4030">
        <f t="shared" si="0"/>
        <v>40000</v>
      </c>
      <c r="R10" s="4031"/>
    </row>
    <row r="11" spans="1:20" ht="31.2" thickBot="1">
      <c r="A11" s="4025" t="s">
        <v>1659</v>
      </c>
      <c r="B11" s="4025">
        <v>2020</v>
      </c>
      <c r="C11" s="4032" t="s">
        <v>1662</v>
      </c>
      <c r="D11" s="4033" t="s">
        <v>1663</v>
      </c>
      <c r="E11" s="4034">
        <f>'FEB-MAR-Carnaval'!Y8</f>
        <v>128256</v>
      </c>
      <c r="F11" s="4035">
        <f>'ABR-Semana Santa'!X8</f>
        <v>0</v>
      </c>
      <c r="G11" s="4034">
        <f>'MAY-Trabajo'!Y9</f>
        <v>0</v>
      </c>
      <c r="H11" s="4035">
        <f>'MAY-Bat Pich'!Y8</f>
        <v>0</v>
      </c>
      <c r="I11" s="4034">
        <f>'AGO-Primer grito'!Y9</f>
        <v>0</v>
      </c>
      <c r="J11" s="4035">
        <f>'OCT-Ind.GYE'!O8</f>
        <v>24641</v>
      </c>
      <c r="K11" s="4034">
        <f>'NOV-Finados'!Y8</f>
        <v>49326</v>
      </c>
      <c r="L11" s="4035">
        <f>'DIC-FFQQ'!AA8</f>
        <v>26272</v>
      </c>
      <c r="M11" s="4034"/>
      <c r="N11" s="4034"/>
      <c r="O11" s="4448">
        <f t="shared" si="1"/>
        <v>0</v>
      </c>
      <c r="P11" s="4077"/>
      <c r="Q11" s="4036">
        <f t="shared" si="0"/>
        <v>228495</v>
      </c>
      <c r="R11" s="4037">
        <f>IF(Q7=0,"",Q11/Q7-1)</f>
        <v>-0.64651035430183879</v>
      </c>
    </row>
    <row r="12" spans="1:20">
      <c r="A12" s="4038" t="s">
        <v>1659</v>
      </c>
      <c r="B12" s="4038">
        <v>2021</v>
      </c>
      <c r="C12" s="4039" t="s">
        <v>1660</v>
      </c>
      <c r="D12" s="4040" t="s">
        <v>1665</v>
      </c>
      <c r="E12" s="4041">
        <f>'FEB-MAR-Carnaval'!L6</f>
        <v>2892</v>
      </c>
      <c r="F12" s="4042">
        <f>'ABR-Semana Santa'!J6</f>
        <v>1517</v>
      </c>
      <c r="G12" s="4041">
        <f>'MAY-Trabajo'!L6</f>
        <v>3446</v>
      </c>
      <c r="H12" s="4043">
        <f>'MAY-Bat Pich'!L6</f>
        <v>7578</v>
      </c>
      <c r="I12" s="4041">
        <f>'AGO-Primer grito'!L6</f>
        <v>11185</v>
      </c>
      <c r="J12" s="4043">
        <f>'OCT-Ind.GYE'!F6</f>
        <v>3000</v>
      </c>
      <c r="K12" s="4041">
        <f>'NOV-Finados'!L6</f>
        <v>11280</v>
      </c>
      <c r="L12" s="4043">
        <f>'DIC-FFQQ'!L6</f>
        <v>12707</v>
      </c>
      <c r="M12" s="4041">
        <f>'DIC-FF Navidad'!E6</f>
        <v>9331</v>
      </c>
      <c r="N12" s="4041">
        <f>'DIC-Fin Año'!E6</f>
        <v>8781</v>
      </c>
      <c r="O12" s="4449">
        <f t="shared" si="1"/>
        <v>18112</v>
      </c>
      <c r="P12" s="4077"/>
      <c r="Q12" s="4044">
        <f t="shared" si="0"/>
        <v>71717</v>
      </c>
      <c r="R12" s="4045">
        <f>IF(Q8=0,"",Q12/Q8-1)</f>
        <v>3.0013948557719132</v>
      </c>
      <c r="S12" s="4024">
        <f>SUM(Q12:Q13)</f>
        <v>130848</v>
      </c>
      <c r="T12" s="47">
        <f>S12/S8-1</f>
        <v>3.7477503628447026</v>
      </c>
    </row>
    <row r="13" spans="1:20">
      <c r="A13" s="4046" t="s">
        <v>1659</v>
      </c>
      <c r="B13" s="4046">
        <v>2021</v>
      </c>
      <c r="C13" s="4047" t="s">
        <v>1666</v>
      </c>
      <c r="D13" s="4048" t="s">
        <v>1667</v>
      </c>
      <c r="E13" s="4049">
        <f>'FEB-MAR-Carnaval'!K6</f>
        <v>2951</v>
      </c>
      <c r="F13" s="4050">
        <f>'ABR-Semana Santa'!K6</f>
        <v>1792</v>
      </c>
      <c r="G13" s="4049">
        <f>'MAY-Trabajo'!K6</f>
        <v>2185</v>
      </c>
      <c r="H13" s="4050">
        <f>'MAY-Bat Pich'!K6</f>
        <v>4274</v>
      </c>
      <c r="I13" s="4049">
        <f>'AGO-Primer grito'!K6</f>
        <v>7372</v>
      </c>
      <c r="J13" s="4050">
        <f>'OCT-Ind.GYE'!E6</f>
        <v>2200</v>
      </c>
      <c r="K13" s="4049">
        <f>'NOV-Finados'!K6</f>
        <v>9692</v>
      </c>
      <c r="L13" s="4050">
        <f>'DIC-FFQQ'!K6</f>
        <v>12484</v>
      </c>
      <c r="M13" s="4049">
        <f>'DIC-FF Navidad'!D6</f>
        <v>7732</v>
      </c>
      <c r="N13" s="4049">
        <f>'DIC-Fin Año'!D6</f>
        <v>8449</v>
      </c>
      <c r="O13" s="4450">
        <f t="shared" si="1"/>
        <v>16181</v>
      </c>
      <c r="P13" s="4077"/>
      <c r="Q13" s="4051">
        <f t="shared" si="0"/>
        <v>59131</v>
      </c>
      <c r="R13" s="4052">
        <f>IF(Q9=0,"",Q13/Q9-1)</f>
        <v>5.1358306526927464</v>
      </c>
    </row>
    <row r="14" spans="1:20" ht="31.2" thickBot="1">
      <c r="A14" s="4053" t="s">
        <v>1659</v>
      </c>
      <c r="B14" s="4053">
        <v>2021</v>
      </c>
      <c r="C14" s="4054" t="s">
        <v>1662</v>
      </c>
      <c r="D14" s="4055" t="s">
        <v>1663</v>
      </c>
      <c r="E14" s="4056">
        <f>'FEB-MAR-Carnaval'!Z8</f>
        <v>39210</v>
      </c>
      <c r="F14" s="4057">
        <f>'ABR-Semana Santa'!Y8</f>
        <v>13362</v>
      </c>
      <c r="G14" s="4056">
        <f>'MAY-Trabajo'!Z8</f>
        <v>28000</v>
      </c>
      <c r="H14" s="4057">
        <f>'MAY-Bat Pich'!Z8</f>
        <v>34840</v>
      </c>
      <c r="I14" s="4056">
        <f>'AGO-Primer grito'!AB9</f>
        <v>77800</v>
      </c>
      <c r="J14" s="4057">
        <f>'OCT-Ind.GYE'!Q8</f>
        <v>47796</v>
      </c>
      <c r="K14" s="4056">
        <f>'NOV-Finados'!Z8</f>
        <v>69984</v>
      </c>
      <c r="L14" s="4057">
        <f>'DIC-FFQQ'!AB8</f>
        <v>39408</v>
      </c>
      <c r="M14" s="4056">
        <f>'DIC-FF Navidad'!P7</f>
        <v>53444</v>
      </c>
      <c r="N14" s="4056">
        <f>'DIC-Fin Año'!P8</f>
        <v>45462</v>
      </c>
      <c r="O14" s="4451">
        <f t="shared" si="1"/>
        <v>98906</v>
      </c>
      <c r="P14" s="4077"/>
      <c r="Q14" s="4058">
        <f t="shared" si="0"/>
        <v>449306</v>
      </c>
      <c r="R14" s="4059">
        <f>IF(Q11=0,"",Q14/Q11-1)</f>
        <v>0.96637125538852064</v>
      </c>
      <c r="T14" s="4024"/>
    </row>
    <row r="15" spans="1:20" hidden="1">
      <c r="A15" s="4060" t="s">
        <v>1659</v>
      </c>
      <c r="B15" s="4060">
        <v>2022</v>
      </c>
      <c r="C15" s="4061" t="s">
        <v>1660</v>
      </c>
      <c r="D15" s="4062" t="s">
        <v>1665</v>
      </c>
      <c r="E15" s="4063"/>
      <c r="F15" s="4064"/>
      <c r="G15" s="4063"/>
      <c r="H15" s="4065"/>
      <c r="I15" s="4063"/>
      <c r="J15" s="4065"/>
      <c r="K15" s="4063"/>
      <c r="L15" s="4065"/>
      <c r="M15" s="4063"/>
      <c r="N15" s="4063"/>
      <c r="O15" s="4452"/>
      <c r="P15" s="4077"/>
      <c r="Q15" s="4044">
        <f t="shared" si="0"/>
        <v>0</v>
      </c>
      <c r="R15" s="4045">
        <f>IF(Q11=0,"",Q15/Q11-1)</f>
        <v>-1</v>
      </c>
      <c r="T15" s="4024"/>
    </row>
    <row r="16" spans="1:20" hidden="1">
      <c r="A16" s="4066" t="s">
        <v>1659</v>
      </c>
      <c r="B16" s="4066">
        <v>2022</v>
      </c>
      <c r="C16" s="4067" t="s">
        <v>1666</v>
      </c>
      <c r="D16" s="4068" t="s">
        <v>1667</v>
      </c>
      <c r="E16" s="4069"/>
      <c r="F16" s="4070"/>
      <c r="G16" s="4069"/>
      <c r="H16" s="4070"/>
      <c r="I16" s="4069"/>
      <c r="J16" s="4070"/>
      <c r="K16" s="4069"/>
      <c r="L16" s="4070"/>
      <c r="M16" s="4069"/>
      <c r="N16" s="4069"/>
      <c r="O16" s="4453"/>
      <c r="P16" s="4077"/>
      <c r="Q16" s="4051">
        <f t="shared" si="0"/>
        <v>0</v>
      </c>
      <c r="R16" s="4052">
        <f>IF(Q12=0,"",Q16/Q12-1)</f>
        <v>-1</v>
      </c>
    </row>
    <row r="17" spans="1:18" ht="31.2" hidden="1" thickBot="1">
      <c r="A17" s="4071" t="s">
        <v>1659</v>
      </c>
      <c r="B17" s="4071">
        <v>2022</v>
      </c>
      <c r="C17" s="4072" t="s">
        <v>1662</v>
      </c>
      <c r="D17" s="4073" t="s">
        <v>1663</v>
      </c>
      <c r="E17" s="4074"/>
      <c r="F17" s="4075"/>
      <c r="G17" s="4074"/>
      <c r="H17" s="4075"/>
      <c r="I17" s="4074"/>
      <c r="J17" s="4075"/>
      <c r="K17" s="4074"/>
      <c r="L17" s="4075"/>
      <c r="M17" s="4074"/>
      <c r="N17" s="4074"/>
      <c r="O17" s="4454"/>
      <c r="P17" s="4077"/>
      <c r="Q17" s="4058">
        <f t="shared" si="0"/>
        <v>0</v>
      </c>
      <c r="R17" s="4059">
        <f>IF(Q14=0,"",Q17/Q14-1)</f>
        <v>-1</v>
      </c>
    </row>
    <row r="18" spans="1:18">
      <c r="B18" s="4076"/>
      <c r="C18" s="4077"/>
      <c r="D18" s="3982"/>
      <c r="E18" s="4077"/>
      <c r="F18" s="4077"/>
      <c r="G18" s="4077"/>
      <c r="H18" s="4077"/>
      <c r="I18" s="4077"/>
      <c r="J18" s="4077"/>
      <c r="K18" s="4077"/>
      <c r="L18" s="4077"/>
      <c r="M18" s="4077"/>
      <c r="N18" s="4077"/>
      <c r="O18" s="4455"/>
      <c r="P18" s="4077"/>
      <c r="Q18" s="4078"/>
      <c r="R18" s="4077"/>
    </row>
    <row r="19" spans="1:18" ht="15" thickBot="1">
      <c r="B19" s="4076"/>
      <c r="C19" s="4077"/>
      <c r="D19" s="3982"/>
      <c r="E19" s="4077"/>
      <c r="F19" s="4077"/>
      <c r="G19" s="4077"/>
      <c r="H19" s="4077"/>
      <c r="I19" s="4077"/>
      <c r="J19" s="4077"/>
      <c r="K19" s="4077"/>
      <c r="L19" s="4077"/>
      <c r="M19" s="4077"/>
      <c r="N19" s="4077"/>
      <c r="O19" s="4455"/>
      <c r="P19" s="4077"/>
      <c r="Q19" s="4078"/>
      <c r="R19" s="4077"/>
    </row>
    <row r="20" spans="1:18">
      <c r="A20" s="4079"/>
      <c r="B20" s="4080">
        <v>2021</v>
      </c>
      <c r="C20" s="4081" t="s">
        <v>536</v>
      </c>
      <c r="D20" s="4082" t="s">
        <v>1669</v>
      </c>
      <c r="E20" s="4083">
        <v>0.3</v>
      </c>
      <c r="F20" s="4083">
        <v>0.13</v>
      </c>
      <c r="G20" s="4083">
        <v>7.0000000000000007E-2</v>
      </c>
      <c r="H20" s="4083">
        <v>0.13</v>
      </c>
      <c r="I20" s="4083">
        <v>0.27</v>
      </c>
      <c r="J20" s="4083">
        <v>0.2</v>
      </c>
      <c r="K20" s="4083">
        <v>0.32</v>
      </c>
      <c r="L20" s="4083">
        <v>0.33</v>
      </c>
      <c r="M20" s="4083">
        <v>0.31</v>
      </c>
      <c r="N20" s="4083">
        <v>0.26</v>
      </c>
      <c r="O20" s="4456">
        <f>AVERAGE(M20:N20)</f>
        <v>0.28500000000000003</v>
      </c>
      <c r="P20" s="4077"/>
      <c r="Q20" s="4083">
        <f>AVERAGE(E20:N20)</f>
        <v>0.23200000000000004</v>
      </c>
      <c r="R20" s="4084"/>
    </row>
    <row r="21" spans="1:18" ht="15" thickBot="1">
      <c r="A21" s="4085"/>
      <c r="B21" s="4086">
        <v>2021</v>
      </c>
      <c r="C21" s="4087" t="s">
        <v>536</v>
      </c>
      <c r="D21" s="4088" t="s">
        <v>1670</v>
      </c>
      <c r="E21" s="4089">
        <v>0.33</v>
      </c>
      <c r="F21" s="4089">
        <v>0.23</v>
      </c>
      <c r="G21" s="4089">
        <v>0.1</v>
      </c>
      <c r="H21" s="4089">
        <v>0.23</v>
      </c>
      <c r="I21" s="4089">
        <v>0.24</v>
      </c>
      <c r="J21" s="4089">
        <v>0.27</v>
      </c>
      <c r="K21" s="4089">
        <v>0.23</v>
      </c>
      <c r="L21" s="4089">
        <v>0.2</v>
      </c>
      <c r="M21" s="4089">
        <v>0.23</v>
      </c>
      <c r="N21" s="4089">
        <v>0.3</v>
      </c>
      <c r="O21" s="4457">
        <f t="shared" ref="O21:O37" si="2">AVERAGE(M21:N21)</f>
        <v>0.26500000000000001</v>
      </c>
      <c r="P21" s="4077"/>
      <c r="Q21" s="4089">
        <f>AVERAGE(E21:N21)</f>
        <v>0.23599999999999999</v>
      </c>
      <c r="R21" s="4090"/>
    </row>
    <row r="22" spans="1:18" ht="15" thickBot="1">
      <c r="B22" s="4076"/>
      <c r="C22" s="4077"/>
      <c r="D22" s="3982"/>
      <c r="E22" s="4077"/>
      <c r="F22" s="4077"/>
      <c r="G22" s="4077"/>
      <c r="H22" s="4077"/>
      <c r="I22" s="4077"/>
      <c r="J22" s="4077"/>
      <c r="K22" s="4077"/>
      <c r="L22" s="4077"/>
      <c r="M22" s="4077"/>
      <c r="N22" s="4077"/>
      <c r="O22" s="4455"/>
      <c r="P22" s="4077"/>
      <c r="Q22" s="4078"/>
      <c r="R22" s="4077"/>
    </row>
    <row r="23" spans="1:18" ht="24">
      <c r="A23" s="4079"/>
      <c r="B23" s="4080">
        <v>2021</v>
      </c>
      <c r="C23" s="4081" t="s">
        <v>1671</v>
      </c>
      <c r="D23" s="4082" t="s">
        <v>1672</v>
      </c>
      <c r="E23" s="4083">
        <v>0.56000000000000005</v>
      </c>
      <c r="F23" s="4083">
        <v>0.75</v>
      </c>
      <c r="G23" s="4083">
        <v>0.85</v>
      </c>
      <c r="H23" s="4083">
        <v>0.5</v>
      </c>
      <c r="I23" s="4083">
        <v>0.19</v>
      </c>
      <c r="J23" s="4083">
        <v>0.26</v>
      </c>
      <c r="K23" s="4083">
        <v>0.2</v>
      </c>
      <c r="L23" s="4083">
        <v>0.45</v>
      </c>
      <c r="M23" s="4083">
        <v>0.33</v>
      </c>
      <c r="N23" s="4083">
        <v>0.41</v>
      </c>
      <c r="O23" s="4456">
        <f t="shared" si="2"/>
        <v>0.37</v>
      </c>
      <c r="P23" s="4077"/>
      <c r="Q23" s="4083">
        <f>AVERAGE(E23:N23)</f>
        <v>0.45000000000000007</v>
      </c>
      <c r="R23" s="4091"/>
    </row>
    <row r="24" spans="1:18" ht="24">
      <c r="A24" s="4092"/>
      <c r="B24" s="4093">
        <v>2021</v>
      </c>
      <c r="C24" s="4094" t="s">
        <v>1671</v>
      </c>
      <c r="D24" s="4095" t="s">
        <v>1673</v>
      </c>
      <c r="E24" s="4096">
        <v>0.31</v>
      </c>
      <c r="F24" s="4096">
        <v>0.22</v>
      </c>
      <c r="G24" s="4096">
        <v>0.1</v>
      </c>
      <c r="H24" s="4096">
        <v>0.24</v>
      </c>
      <c r="I24" s="4096">
        <v>0.39</v>
      </c>
      <c r="J24" s="4096">
        <v>0.37</v>
      </c>
      <c r="K24" s="4096">
        <v>0.5</v>
      </c>
      <c r="L24" s="4096">
        <v>0.26</v>
      </c>
      <c r="M24" s="4096">
        <v>0.38</v>
      </c>
      <c r="N24" s="4096">
        <v>0.36</v>
      </c>
      <c r="O24" s="4458">
        <f t="shared" si="2"/>
        <v>0.37</v>
      </c>
      <c r="P24" s="4077"/>
      <c r="Q24" s="4096">
        <f>AVERAGE(E24:N24)</f>
        <v>0.31299999999999994</v>
      </c>
      <c r="R24" s="4097"/>
    </row>
    <row r="25" spans="1:18" ht="24.6" thickBot="1">
      <c r="A25" s="4085"/>
      <c r="B25" s="4086">
        <v>2021</v>
      </c>
      <c r="C25" s="4087" t="s">
        <v>1671</v>
      </c>
      <c r="D25" s="4088" t="s">
        <v>1674</v>
      </c>
      <c r="E25" s="4089">
        <v>0.13</v>
      </c>
      <c r="F25" s="4089">
        <v>0.03</v>
      </c>
      <c r="G25" s="4089">
        <v>0.05</v>
      </c>
      <c r="H25" s="4089">
        <v>0.26</v>
      </c>
      <c r="I25" s="4089">
        <v>0.42</v>
      </c>
      <c r="J25" s="4089">
        <v>0.37</v>
      </c>
      <c r="K25" s="4089">
        <v>0.3</v>
      </c>
      <c r="L25" s="4089">
        <v>0.28999999999999998</v>
      </c>
      <c r="M25" s="4089">
        <v>0.28999999999999998</v>
      </c>
      <c r="N25" s="4089">
        <v>0.23</v>
      </c>
      <c r="O25" s="4457">
        <f t="shared" si="2"/>
        <v>0.26</v>
      </c>
      <c r="P25" s="4077"/>
      <c r="Q25" s="4089">
        <f>AVERAGE(E25:N25)</f>
        <v>0.23700000000000002</v>
      </c>
      <c r="R25" s="4098"/>
    </row>
    <row r="26" spans="1:18" ht="15" thickBot="1">
      <c r="B26" s="4076"/>
      <c r="C26" s="4077"/>
      <c r="D26" s="3982"/>
      <c r="E26" s="4077"/>
      <c r="F26" s="4077"/>
      <c r="G26" s="4077"/>
      <c r="H26" s="4077"/>
      <c r="I26" s="4077"/>
      <c r="J26" s="4077"/>
      <c r="K26" s="4077"/>
      <c r="L26" s="4077"/>
      <c r="M26" s="4077"/>
      <c r="N26" s="4077"/>
      <c r="O26" s="4455"/>
      <c r="P26" s="4077"/>
      <c r="Q26" s="4078"/>
      <c r="R26" s="4077"/>
    </row>
    <row r="27" spans="1:18" ht="36">
      <c r="A27" s="4079"/>
      <c r="B27" s="4080">
        <v>2021</v>
      </c>
      <c r="C27" s="4081" t="s">
        <v>1675</v>
      </c>
      <c r="D27" s="4082" t="s">
        <v>1672</v>
      </c>
      <c r="E27" s="4083">
        <v>0.19</v>
      </c>
      <c r="F27" s="4083">
        <v>0.41</v>
      </c>
      <c r="G27" s="4083">
        <v>0</v>
      </c>
      <c r="H27" s="4083">
        <v>0.23</v>
      </c>
      <c r="I27" s="4083">
        <v>0.03</v>
      </c>
      <c r="J27" s="4083">
        <v>0.03</v>
      </c>
      <c r="K27" s="4083">
        <v>0.03</v>
      </c>
      <c r="L27" s="4083">
        <v>0.01</v>
      </c>
      <c r="M27" s="4083">
        <v>0.01</v>
      </c>
      <c r="N27" s="4083">
        <v>0.03</v>
      </c>
      <c r="O27" s="4456">
        <f t="shared" si="2"/>
        <v>0.02</v>
      </c>
      <c r="P27" s="4077"/>
      <c r="Q27" s="4083">
        <f>AVERAGE(E27:N27)</f>
        <v>9.7000000000000003E-2</v>
      </c>
      <c r="R27" s="4091"/>
    </row>
    <row r="28" spans="1:18" ht="36">
      <c r="A28" s="4092"/>
      <c r="B28" s="4093">
        <v>2021</v>
      </c>
      <c r="C28" s="4094" t="s">
        <v>1675</v>
      </c>
      <c r="D28" s="4095" t="s">
        <v>1673</v>
      </c>
      <c r="E28" s="4096">
        <v>0.43</v>
      </c>
      <c r="F28" s="4096">
        <v>0.24</v>
      </c>
      <c r="G28" s="4096">
        <v>0.24</v>
      </c>
      <c r="H28" s="4096">
        <v>0.4</v>
      </c>
      <c r="I28" s="4096">
        <v>0.43</v>
      </c>
      <c r="J28" s="4096">
        <v>0.22</v>
      </c>
      <c r="K28" s="4096">
        <v>0.16</v>
      </c>
      <c r="L28" s="4096">
        <v>0.16</v>
      </c>
      <c r="M28" s="4096">
        <v>0.12</v>
      </c>
      <c r="N28" s="4096">
        <v>0.44</v>
      </c>
      <c r="O28" s="4458">
        <f t="shared" si="2"/>
        <v>0.28000000000000003</v>
      </c>
      <c r="P28" s="4077"/>
      <c r="Q28" s="4096">
        <f>AVERAGE(E28:N28)</f>
        <v>0.28400000000000003</v>
      </c>
      <c r="R28" s="4097"/>
    </row>
    <row r="29" spans="1:18" ht="36.6" thickBot="1">
      <c r="A29" s="4085"/>
      <c r="B29" s="4086">
        <v>2021</v>
      </c>
      <c r="C29" s="4087" t="s">
        <v>1675</v>
      </c>
      <c r="D29" s="4088" t="s">
        <v>1674</v>
      </c>
      <c r="E29" s="4089">
        <v>0.38</v>
      </c>
      <c r="F29" s="4089">
        <v>0.35</v>
      </c>
      <c r="G29" s="4089">
        <v>0.76</v>
      </c>
      <c r="H29" s="4089">
        <v>0.37</v>
      </c>
      <c r="I29" s="4089">
        <v>0.54</v>
      </c>
      <c r="J29" s="4089">
        <v>0.75</v>
      </c>
      <c r="K29" s="4089">
        <v>0.81</v>
      </c>
      <c r="L29" s="4089">
        <v>0.83</v>
      </c>
      <c r="M29" s="4089">
        <v>0.87</v>
      </c>
      <c r="N29" s="4089">
        <v>0.53</v>
      </c>
      <c r="O29" s="4457">
        <f t="shared" si="2"/>
        <v>0.7</v>
      </c>
      <c r="P29" s="4077"/>
      <c r="Q29" s="4089">
        <f>AVERAGE(E29:N29)</f>
        <v>0.61899999999999999</v>
      </c>
      <c r="R29" s="4098"/>
    </row>
    <row r="30" spans="1:18" ht="15" thickBot="1">
      <c r="B30" s="4076"/>
      <c r="C30" s="4077"/>
      <c r="D30" s="3982"/>
      <c r="E30" s="4077"/>
      <c r="F30" s="4077"/>
      <c r="G30" s="4077"/>
      <c r="H30" s="4077"/>
      <c r="I30" s="4077"/>
      <c r="J30" s="4077"/>
      <c r="K30" s="4077"/>
      <c r="L30" s="4077"/>
      <c r="M30" s="4077"/>
      <c r="N30" s="4077"/>
      <c r="O30" s="4455"/>
      <c r="P30" s="4077"/>
      <c r="Q30" s="4078"/>
      <c r="R30" s="4077"/>
    </row>
    <row r="31" spans="1:18" ht="24">
      <c r="A31" s="4079"/>
      <c r="B31" s="4080">
        <v>2021</v>
      </c>
      <c r="C31" s="4081" t="s">
        <v>1676</v>
      </c>
      <c r="D31" s="4082" t="s">
        <v>1672</v>
      </c>
      <c r="E31" s="4083">
        <v>0.22</v>
      </c>
      <c r="F31" s="4083">
        <v>0.78</v>
      </c>
      <c r="G31" s="4083">
        <v>1</v>
      </c>
      <c r="H31" s="4083">
        <v>0</v>
      </c>
      <c r="I31" s="4083">
        <v>0.1</v>
      </c>
      <c r="J31" s="4083">
        <v>0</v>
      </c>
      <c r="K31" s="4083">
        <v>0</v>
      </c>
      <c r="L31" s="4083">
        <v>0</v>
      </c>
      <c r="M31" s="4083">
        <v>0.6</v>
      </c>
      <c r="N31" s="4083">
        <v>0.25</v>
      </c>
      <c r="O31" s="4456">
        <f t="shared" si="2"/>
        <v>0.42499999999999999</v>
      </c>
      <c r="P31" s="4077"/>
      <c r="Q31" s="4083">
        <f>AVERAGE(E31:N31)</f>
        <v>0.29500000000000004</v>
      </c>
      <c r="R31" s="4091"/>
    </row>
    <row r="32" spans="1:18" ht="24">
      <c r="A32" s="4092"/>
      <c r="B32" s="4093">
        <v>2021</v>
      </c>
      <c r="C32" s="4094" t="s">
        <v>1676</v>
      </c>
      <c r="D32" s="4095" t="s">
        <v>1673</v>
      </c>
      <c r="E32" s="4096">
        <v>0.14000000000000001</v>
      </c>
      <c r="F32" s="4096">
        <v>0</v>
      </c>
      <c r="G32" s="4096">
        <v>0</v>
      </c>
      <c r="H32" s="4096">
        <v>0.22</v>
      </c>
      <c r="I32" s="4096">
        <v>0.1</v>
      </c>
      <c r="J32" s="4096">
        <v>0.17</v>
      </c>
      <c r="K32" s="4096">
        <v>0.2</v>
      </c>
      <c r="L32" s="4096">
        <v>0.2</v>
      </c>
      <c r="M32" s="4096">
        <v>0</v>
      </c>
      <c r="N32" s="4096">
        <v>0.25</v>
      </c>
      <c r="O32" s="4458">
        <f t="shared" si="2"/>
        <v>0.125</v>
      </c>
      <c r="P32" s="4077"/>
      <c r="Q32" s="4096">
        <f>AVERAGE(E32:N32)</f>
        <v>0.128</v>
      </c>
      <c r="R32" s="4097"/>
    </row>
    <row r="33" spans="1:18" ht="24.6" thickBot="1">
      <c r="A33" s="4085"/>
      <c r="B33" s="4086">
        <v>2021</v>
      </c>
      <c r="C33" s="4087" t="s">
        <v>1676</v>
      </c>
      <c r="D33" s="4088" t="s">
        <v>1674</v>
      </c>
      <c r="E33" s="4089">
        <v>0.64</v>
      </c>
      <c r="F33" s="4089">
        <v>0.22</v>
      </c>
      <c r="G33" s="4089">
        <v>0</v>
      </c>
      <c r="H33" s="4089">
        <v>0.78</v>
      </c>
      <c r="I33" s="4089">
        <v>0.8</v>
      </c>
      <c r="J33" s="4089">
        <v>0.83</v>
      </c>
      <c r="K33" s="4089">
        <v>0.8</v>
      </c>
      <c r="L33" s="4089">
        <v>0.8</v>
      </c>
      <c r="M33" s="4089">
        <v>0.4</v>
      </c>
      <c r="N33" s="4089">
        <v>0.5</v>
      </c>
      <c r="O33" s="4457">
        <f t="shared" si="2"/>
        <v>0.45</v>
      </c>
      <c r="P33" s="4077"/>
      <c r="Q33" s="4089">
        <f>AVERAGE(E33:N33)</f>
        <v>0.57700000000000007</v>
      </c>
      <c r="R33" s="4098"/>
    </row>
    <row r="34" spans="1:18" ht="15" thickBot="1">
      <c r="B34" s="4076"/>
      <c r="C34" s="4077"/>
      <c r="D34" s="3982"/>
      <c r="E34" s="4077"/>
      <c r="F34" s="4077"/>
      <c r="G34" s="4077"/>
      <c r="H34" s="4077"/>
      <c r="I34" s="4077"/>
      <c r="J34" s="4077"/>
      <c r="K34" s="4077"/>
      <c r="L34" s="4077"/>
      <c r="M34" s="4077"/>
      <c r="N34" s="4077"/>
      <c r="O34" s="4455"/>
      <c r="P34" s="4077"/>
      <c r="Q34" s="4078"/>
      <c r="R34" s="4077"/>
    </row>
    <row r="35" spans="1:18" ht="24">
      <c r="A35" s="4079"/>
      <c r="B35" s="4080">
        <v>2021</v>
      </c>
      <c r="C35" s="4081" t="s">
        <v>1677</v>
      </c>
      <c r="D35" s="4082" t="s">
        <v>1672</v>
      </c>
      <c r="E35" s="4083">
        <v>0.31</v>
      </c>
      <c r="F35" s="4083">
        <v>0.69</v>
      </c>
      <c r="G35" s="4083"/>
      <c r="H35" s="4083">
        <v>1</v>
      </c>
      <c r="I35" s="4083">
        <v>0.18</v>
      </c>
      <c r="J35" s="4083">
        <v>0</v>
      </c>
      <c r="K35" s="4083">
        <v>0</v>
      </c>
      <c r="L35" s="4083">
        <v>0</v>
      </c>
      <c r="M35" s="4083">
        <v>0</v>
      </c>
      <c r="N35" s="4083">
        <v>0</v>
      </c>
      <c r="O35" s="4456">
        <f t="shared" si="2"/>
        <v>0</v>
      </c>
      <c r="P35" s="4077"/>
      <c r="Q35" s="4083">
        <f>AVERAGE(E35:N35)</f>
        <v>0.24222222222222223</v>
      </c>
      <c r="R35" s="4091"/>
    </row>
    <row r="36" spans="1:18" ht="24">
      <c r="A36" s="4092"/>
      <c r="B36" s="4093">
        <v>2021</v>
      </c>
      <c r="C36" s="4094" t="s">
        <v>1677</v>
      </c>
      <c r="D36" s="4095" t="s">
        <v>1673</v>
      </c>
      <c r="E36" s="4096">
        <v>0.15</v>
      </c>
      <c r="F36" s="4096">
        <v>0.23</v>
      </c>
      <c r="G36" s="4096"/>
      <c r="H36" s="4096">
        <v>0</v>
      </c>
      <c r="I36" s="4096">
        <v>0.18</v>
      </c>
      <c r="J36" s="4096">
        <v>0.18</v>
      </c>
      <c r="K36" s="4096">
        <v>0.1429</v>
      </c>
      <c r="L36" s="4096">
        <v>0.16669999999999999</v>
      </c>
      <c r="M36" s="4096">
        <v>0.8</v>
      </c>
      <c r="N36" s="4096">
        <v>0.71430000000000005</v>
      </c>
      <c r="O36" s="4458">
        <f t="shared" si="2"/>
        <v>0.75714999999999999</v>
      </c>
      <c r="P36" s="4077"/>
      <c r="Q36" s="4096">
        <f>AVERAGE(E36:N36)</f>
        <v>0.28487777777777779</v>
      </c>
      <c r="R36" s="4097"/>
    </row>
    <row r="37" spans="1:18" ht="24.6" thickBot="1">
      <c r="A37" s="4085"/>
      <c r="B37" s="4086">
        <v>2021</v>
      </c>
      <c r="C37" s="4087" t="s">
        <v>1677</v>
      </c>
      <c r="D37" s="4088" t="s">
        <v>1674</v>
      </c>
      <c r="E37" s="4089">
        <v>0.54</v>
      </c>
      <c r="F37" s="4089">
        <v>0.08</v>
      </c>
      <c r="G37" s="4089"/>
      <c r="H37" s="4089">
        <v>0</v>
      </c>
      <c r="I37" s="4089">
        <v>0.84</v>
      </c>
      <c r="J37" s="4089">
        <v>0.82</v>
      </c>
      <c r="K37" s="4089">
        <v>0.85709999999999997</v>
      </c>
      <c r="L37" s="4089">
        <v>0.83330000000000004</v>
      </c>
      <c r="M37" s="4089">
        <v>0.2</v>
      </c>
      <c r="N37" s="4089">
        <v>0.28570000000000001</v>
      </c>
      <c r="O37" s="4457">
        <f t="shared" si="2"/>
        <v>0.24285000000000001</v>
      </c>
      <c r="P37" s="4077"/>
      <c r="Q37" s="4089">
        <f>AVERAGE(E37:N37)</f>
        <v>0.49512222222222224</v>
      </c>
      <c r="R37" s="4098"/>
    </row>
    <row r="38" spans="1:18">
      <c r="B38" s="4076"/>
      <c r="C38" s="4077"/>
      <c r="D38" s="3982"/>
      <c r="E38" s="4077"/>
      <c r="F38" s="4077"/>
      <c r="G38" s="4077"/>
      <c r="H38" s="4077"/>
      <c r="I38" s="4077"/>
      <c r="J38" s="4077"/>
      <c r="K38" s="4077"/>
      <c r="L38" s="4077"/>
      <c r="M38" s="4077"/>
      <c r="N38" s="4077"/>
      <c r="O38" s="4455"/>
      <c r="P38" s="4077"/>
      <c r="Q38" s="4077"/>
      <c r="R38" s="4077"/>
    </row>
    <row r="39" spans="1:18" ht="15" thickBot="1">
      <c r="B39" s="4076"/>
      <c r="C39" s="4077"/>
      <c r="D39" s="3982"/>
      <c r="E39" s="4077"/>
      <c r="F39" s="4077"/>
      <c r="G39" s="4077"/>
      <c r="H39" s="4077"/>
      <c r="I39" s="4077"/>
      <c r="J39" s="4077"/>
      <c r="K39" s="4077"/>
      <c r="L39" s="4077"/>
      <c r="M39" s="4077"/>
      <c r="N39" s="4077"/>
      <c r="O39" s="4455"/>
      <c r="P39" s="4077"/>
      <c r="Q39" s="4077"/>
      <c r="R39" s="4077"/>
    </row>
    <row r="40" spans="1:18" ht="15" thickBot="1">
      <c r="B40" s="4076"/>
      <c r="C40" s="4077"/>
      <c r="D40" s="3982"/>
      <c r="E40" s="4077"/>
      <c r="F40" s="4077"/>
      <c r="G40" s="4077"/>
      <c r="H40" s="4077"/>
      <c r="I40" s="4077"/>
      <c r="J40" s="4077"/>
      <c r="K40" s="4077"/>
      <c r="L40" s="4077"/>
      <c r="M40" s="4077"/>
      <c r="N40" s="4077"/>
      <c r="O40" s="4455"/>
      <c r="P40" s="4099" t="s">
        <v>1678</v>
      </c>
      <c r="Q40" s="4100" t="s">
        <v>1679</v>
      </c>
      <c r="R40" s="4101" t="s">
        <v>815</v>
      </c>
    </row>
    <row r="41" spans="1:18">
      <c r="B41" s="4076"/>
      <c r="C41" s="4077"/>
      <c r="D41" s="4102" t="s">
        <v>1858</v>
      </c>
      <c r="E41" s="4103">
        <f>SUM(E4:E5)</f>
        <v>122523</v>
      </c>
      <c r="F41" s="4103">
        <f>SUM(F4:F5)</f>
        <v>98147</v>
      </c>
      <c r="G41" s="4103">
        <f>SUM(G4:G5)</f>
        <v>124767</v>
      </c>
      <c r="H41" s="4103">
        <f>SUM(H4:H5)</f>
        <v>96112</v>
      </c>
      <c r="I41" s="4103">
        <f>SUM(I4:I5)</f>
        <v>98788</v>
      </c>
      <c r="J41" s="4103"/>
      <c r="K41" s="4103">
        <f>SUM(K4:K5)</f>
        <v>88513</v>
      </c>
      <c r="L41" s="4103">
        <f>SUM(L4:L5)</f>
        <v>97095</v>
      </c>
      <c r="M41" s="4103"/>
      <c r="N41" s="4104"/>
      <c r="O41" s="4459">
        <f>SUM(M41:N41)</f>
        <v>0</v>
      </c>
      <c r="P41" s="4105">
        <f>AVERAGE(E41:N41)</f>
        <v>103706.42857142857</v>
      </c>
      <c r="Q41" s="4106">
        <f>SUM(E41:N41)</f>
        <v>725945</v>
      </c>
      <c r="R41" s="4107"/>
    </row>
    <row r="42" spans="1:18">
      <c r="B42" s="4076"/>
      <c r="C42" s="4077"/>
      <c r="D42" s="4108" t="s">
        <v>1859</v>
      </c>
      <c r="E42" s="4109">
        <f>SUM(E6:E7)</f>
        <v>126886</v>
      </c>
      <c r="F42" s="4109">
        <f>SUM(F6:F7)</f>
        <v>88950</v>
      </c>
      <c r="G42" s="4109">
        <f>SUM(G6:G7)</f>
        <v>93403.01</v>
      </c>
      <c r="H42" s="4109">
        <f>SUM(H6:H7)</f>
        <v>94097.44</v>
      </c>
      <c r="I42" s="4109">
        <f>SUM(I6:I7)</f>
        <v>104598.5</v>
      </c>
      <c r="J42" s="4109"/>
      <c r="K42" s="4109">
        <f>SUM(K6:K7)</f>
        <v>83420.820000000007</v>
      </c>
      <c r="L42" s="4109">
        <f>SUM(L6:L7)</f>
        <v>104756.7</v>
      </c>
      <c r="M42" s="4109"/>
      <c r="N42" s="4110"/>
      <c r="O42" s="4460">
        <f t="shared" ref="O42:O52" si="3">SUM(M42:N42)</f>
        <v>0</v>
      </c>
      <c r="P42" s="4111">
        <f>AVERAGE(E42:N42)</f>
        <v>99444.638571428572</v>
      </c>
      <c r="Q42" s="4112">
        <f>SUM(E42:N42)</f>
        <v>696112.47</v>
      </c>
      <c r="R42" s="4113">
        <f>Q42/Q41</f>
        <v>0.95890524764272767</v>
      </c>
    </row>
    <row r="43" spans="1:18">
      <c r="B43" s="4076"/>
      <c r="C43" s="4077"/>
      <c r="D43" s="4114" t="s">
        <v>1860</v>
      </c>
      <c r="E43" s="4115">
        <f t="shared" ref="E43:L43" si="4">SUM(E8:E11)</f>
        <v>175220</v>
      </c>
      <c r="F43" s="4115">
        <f t="shared" si="4"/>
        <v>0</v>
      </c>
      <c r="G43" s="4115">
        <f t="shared" si="4"/>
        <v>0</v>
      </c>
      <c r="H43" s="4115">
        <f t="shared" si="4"/>
        <v>0</v>
      </c>
      <c r="I43" s="4115">
        <f t="shared" si="4"/>
        <v>1634</v>
      </c>
      <c r="J43" s="4115">
        <f t="shared" si="4"/>
        <v>29214</v>
      </c>
      <c r="K43" s="4115">
        <f t="shared" si="4"/>
        <v>54832</v>
      </c>
      <c r="L43" s="4115">
        <f t="shared" si="4"/>
        <v>35155</v>
      </c>
      <c r="M43" s="4115"/>
      <c r="N43" s="4116"/>
      <c r="O43" s="4461">
        <f t="shared" si="3"/>
        <v>0</v>
      </c>
      <c r="P43" s="4111">
        <f>AVERAGE(E43:N43)</f>
        <v>37006.875</v>
      </c>
      <c r="Q43" s="4112">
        <f>SUM(E43:N43)</f>
        <v>296055</v>
      </c>
      <c r="R43" s="4113">
        <f>Q43/Q42</f>
        <v>0.42529765340936931</v>
      </c>
    </row>
    <row r="44" spans="1:18">
      <c r="B44" s="4076"/>
      <c r="C44" s="4077"/>
      <c r="D44" s="4095" t="s">
        <v>1861</v>
      </c>
      <c r="E44" s="4117">
        <f t="shared" ref="E44:N44" si="5">SUM(E12:E14)</f>
        <v>45053</v>
      </c>
      <c r="F44" s="4117">
        <f t="shared" si="5"/>
        <v>16671</v>
      </c>
      <c r="G44" s="4117">
        <f t="shared" si="5"/>
        <v>33631</v>
      </c>
      <c r="H44" s="4117">
        <f t="shared" si="5"/>
        <v>46692</v>
      </c>
      <c r="I44" s="4117">
        <f t="shared" si="5"/>
        <v>96357</v>
      </c>
      <c r="J44" s="4117">
        <f t="shared" si="5"/>
        <v>52996</v>
      </c>
      <c r="K44" s="4117">
        <f t="shared" si="5"/>
        <v>90956</v>
      </c>
      <c r="L44" s="4117">
        <f t="shared" si="5"/>
        <v>64599</v>
      </c>
      <c r="M44" s="4117">
        <f t="shared" si="5"/>
        <v>70507</v>
      </c>
      <c r="N44" s="4118">
        <f t="shared" si="5"/>
        <v>62692</v>
      </c>
      <c r="O44" s="4462">
        <f t="shared" si="3"/>
        <v>133199</v>
      </c>
      <c r="P44" s="4111">
        <f>AVERAGE(E44:N44)</f>
        <v>58015.4</v>
      </c>
      <c r="Q44" s="4112">
        <f>SUM(E44:N44)</f>
        <v>580154</v>
      </c>
      <c r="R44" s="4113">
        <f>Q44/Q43</f>
        <v>1.9596156119639931</v>
      </c>
    </row>
    <row r="45" spans="1:18" ht="15" thickBot="1">
      <c r="B45" s="4076"/>
      <c r="C45" s="4077"/>
      <c r="D45" s="4119" t="s">
        <v>1862</v>
      </c>
      <c r="E45" s="4120">
        <f t="shared" ref="E45:N45" si="6">SUM(E15:E17)</f>
        <v>0</v>
      </c>
      <c r="F45" s="4120">
        <f t="shared" si="6"/>
        <v>0</v>
      </c>
      <c r="G45" s="4120">
        <f t="shared" si="6"/>
        <v>0</v>
      </c>
      <c r="H45" s="4120">
        <f t="shared" si="6"/>
        <v>0</v>
      </c>
      <c r="I45" s="4120">
        <f t="shared" si="6"/>
        <v>0</v>
      </c>
      <c r="J45" s="4120">
        <f t="shared" si="6"/>
        <v>0</v>
      </c>
      <c r="K45" s="4120">
        <f t="shared" si="6"/>
        <v>0</v>
      </c>
      <c r="L45" s="4120">
        <f t="shared" si="6"/>
        <v>0</v>
      </c>
      <c r="M45" s="4120">
        <f t="shared" si="6"/>
        <v>0</v>
      </c>
      <c r="N45" s="4121">
        <f t="shared" si="6"/>
        <v>0</v>
      </c>
      <c r="O45" s="4463">
        <f t="shared" si="3"/>
        <v>0</v>
      </c>
      <c r="P45" s="4122">
        <f>AVERAGE(E45:N45)</f>
        <v>0</v>
      </c>
      <c r="Q45" s="4123">
        <f>SUM(E45:N45)</f>
        <v>0</v>
      </c>
      <c r="R45" s="4124">
        <f>Q45/Q44</f>
        <v>0</v>
      </c>
    </row>
    <row r="46" spans="1:18" ht="15" thickBot="1">
      <c r="A46" s="2"/>
      <c r="B46" s="2"/>
      <c r="C46" s="2"/>
      <c r="D46" s="2"/>
      <c r="E46" s="2"/>
      <c r="F46" s="2"/>
      <c r="G46" s="2"/>
      <c r="H46" s="2"/>
      <c r="I46" s="2"/>
      <c r="J46" s="2"/>
      <c r="K46" s="2"/>
      <c r="L46" s="2"/>
      <c r="M46" s="2"/>
      <c r="N46" s="2"/>
      <c r="O46" s="4464"/>
      <c r="P46" s="2"/>
    </row>
    <row r="47" spans="1:18" ht="15" thickBot="1">
      <c r="A47" s="2"/>
      <c r="B47" s="2"/>
      <c r="C47" s="22" t="s">
        <v>1680</v>
      </c>
      <c r="D47" s="2"/>
      <c r="E47" s="2"/>
      <c r="F47" s="2"/>
      <c r="G47" s="2"/>
      <c r="H47" s="2"/>
      <c r="I47" s="2"/>
      <c r="J47" s="2"/>
      <c r="K47" s="2"/>
      <c r="L47" s="2"/>
      <c r="M47" s="2"/>
      <c r="N47" s="2"/>
      <c r="O47" s="4464"/>
      <c r="P47" s="4099" t="s">
        <v>1678</v>
      </c>
      <c r="Q47" s="4100" t="s">
        <v>1679</v>
      </c>
      <c r="R47" s="4101" t="s">
        <v>815</v>
      </c>
    </row>
    <row r="48" spans="1:18" ht="20.399999999999999">
      <c r="C48" s="4125">
        <v>100</v>
      </c>
      <c r="D48" s="4102" t="s">
        <v>1863</v>
      </c>
      <c r="E48" s="4103">
        <f t="shared" ref="E48:N48" si="7">E41*$C$48</f>
        <v>12252300</v>
      </c>
      <c r="F48" s="4103">
        <f t="shared" si="7"/>
        <v>9814700</v>
      </c>
      <c r="G48" s="4103">
        <f t="shared" si="7"/>
        <v>12476700</v>
      </c>
      <c r="H48" s="4103">
        <f t="shared" si="7"/>
        <v>9611200</v>
      </c>
      <c r="I48" s="4103">
        <f t="shared" si="7"/>
        <v>9878800</v>
      </c>
      <c r="J48" s="4103">
        <f t="shared" si="7"/>
        <v>0</v>
      </c>
      <c r="K48" s="4103">
        <f t="shared" si="7"/>
        <v>8851300</v>
      </c>
      <c r="L48" s="4103">
        <f t="shared" si="7"/>
        <v>9709500</v>
      </c>
      <c r="M48" s="4103">
        <f t="shared" si="7"/>
        <v>0</v>
      </c>
      <c r="N48" s="4103">
        <f t="shared" si="7"/>
        <v>0</v>
      </c>
      <c r="O48" s="4465">
        <f t="shared" si="3"/>
        <v>0</v>
      </c>
      <c r="P48" s="4105">
        <f>AVERAGE(E48:N48)</f>
        <v>7259450</v>
      </c>
      <c r="Q48" s="4106">
        <f>SUM(E48:N48)</f>
        <v>72594500</v>
      </c>
      <c r="R48" s="4107"/>
    </row>
    <row r="49" spans="2:18" ht="20.399999999999999">
      <c r="B49" s="4076"/>
      <c r="C49" s="4125">
        <v>100</v>
      </c>
      <c r="D49" s="4108" t="s">
        <v>1864</v>
      </c>
      <c r="E49" s="4109">
        <f t="shared" ref="E49:N49" si="8">E42*$C$49</f>
        <v>12688600</v>
      </c>
      <c r="F49" s="4109">
        <f t="shared" si="8"/>
        <v>8895000</v>
      </c>
      <c r="G49" s="4109">
        <f t="shared" si="8"/>
        <v>9340301</v>
      </c>
      <c r="H49" s="4109">
        <f t="shared" si="8"/>
        <v>9409744</v>
      </c>
      <c r="I49" s="4109">
        <f t="shared" si="8"/>
        <v>10459850</v>
      </c>
      <c r="J49" s="4109">
        <f t="shared" si="8"/>
        <v>0</v>
      </c>
      <c r="K49" s="4109">
        <f t="shared" si="8"/>
        <v>8342082.0000000009</v>
      </c>
      <c r="L49" s="4109">
        <f t="shared" si="8"/>
        <v>10475670</v>
      </c>
      <c r="M49" s="4109">
        <f t="shared" si="8"/>
        <v>0</v>
      </c>
      <c r="N49" s="4109">
        <f t="shared" si="8"/>
        <v>0</v>
      </c>
      <c r="O49" s="4466">
        <f t="shared" si="3"/>
        <v>0</v>
      </c>
      <c r="P49" s="4111">
        <f>AVERAGE(E49:N49)</f>
        <v>6961124.7000000002</v>
      </c>
      <c r="Q49" s="4112">
        <f>SUM(E49:N49)</f>
        <v>69611247</v>
      </c>
      <c r="R49" s="4113">
        <f>Q49/Q48</f>
        <v>0.95890524764272778</v>
      </c>
    </row>
    <row r="50" spans="2:18" ht="20.399999999999999">
      <c r="B50" s="4076"/>
      <c r="C50" s="4125">
        <v>100</v>
      </c>
      <c r="D50" s="4114" t="s">
        <v>1865</v>
      </c>
      <c r="E50" s="4115">
        <f t="shared" ref="E50:L50" si="9">E43*$C$50</f>
        <v>17522000</v>
      </c>
      <c r="F50" s="4115">
        <f t="shared" si="9"/>
        <v>0</v>
      </c>
      <c r="G50" s="4115">
        <f t="shared" si="9"/>
        <v>0</v>
      </c>
      <c r="H50" s="4115">
        <f t="shared" si="9"/>
        <v>0</v>
      </c>
      <c r="I50" s="4115">
        <f t="shared" si="9"/>
        <v>163400</v>
      </c>
      <c r="J50" s="4115">
        <f t="shared" si="9"/>
        <v>2921400</v>
      </c>
      <c r="K50" s="4115">
        <f t="shared" si="9"/>
        <v>5483200</v>
      </c>
      <c r="L50" s="4115">
        <f t="shared" si="9"/>
        <v>3515500</v>
      </c>
      <c r="M50" s="4115"/>
      <c r="N50" s="4115"/>
      <c r="O50" s="4467">
        <f t="shared" si="3"/>
        <v>0</v>
      </c>
      <c r="P50" s="4111">
        <f>AVERAGE(E50:N50)</f>
        <v>3700687.5</v>
      </c>
      <c r="Q50" s="4112">
        <f>SUM(E50:N50)</f>
        <v>29605500</v>
      </c>
      <c r="R50" s="4113">
        <f>Q50/Q49</f>
        <v>0.42529765340936931</v>
      </c>
    </row>
    <row r="51" spans="2:18" ht="20.399999999999999">
      <c r="B51" s="4076"/>
      <c r="C51" s="4125">
        <v>100</v>
      </c>
      <c r="D51" s="4095" t="s">
        <v>1866</v>
      </c>
      <c r="E51" s="4117">
        <f t="shared" ref="E51:N51" si="10">E44*$C$51</f>
        <v>4505300</v>
      </c>
      <c r="F51" s="4117">
        <f t="shared" si="10"/>
        <v>1667100</v>
      </c>
      <c r="G51" s="4117">
        <f t="shared" si="10"/>
        <v>3363100</v>
      </c>
      <c r="H51" s="4117">
        <f t="shared" si="10"/>
        <v>4669200</v>
      </c>
      <c r="I51" s="4117">
        <f t="shared" si="10"/>
        <v>9635700</v>
      </c>
      <c r="J51" s="4117">
        <f t="shared" si="10"/>
        <v>5299600</v>
      </c>
      <c r="K51" s="4117">
        <f t="shared" si="10"/>
        <v>9095600</v>
      </c>
      <c r="L51" s="4117">
        <f t="shared" si="10"/>
        <v>6459900</v>
      </c>
      <c r="M51" s="4117">
        <f t="shared" si="10"/>
        <v>7050700</v>
      </c>
      <c r="N51" s="4117">
        <f t="shared" si="10"/>
        <v>6269200</v>
      </c>
      <c r="O51" s="4468">
        <f t="shared" si="3"/>
        <v>13319900</v>
      </c>
      <c r="P51" s="4111">
        <f>AVERAGE(E51:N51)</f>
        <v>5801540</v>
      </c>
      <c r="Q51" s="4112">
        <f>SUM(E51:N51)</f>
        <v>58015400</v>
      </c>
      <c r="R51" s="4113">
        <f>Q51/Q50</f>
        <v>1.9596156119639931</v>
      </c>
    </row>
    <row r="52" spans="2:18" ht="21" thickBot="1">
      <c r="B52" s="4076"/>
      <c r="C52" s="4125">
        <v>100</v>
      </c>
      <c r="D52" s="4119" t="s">
        <v>1867</v>
      </c>
      <c r="E52" s="4120">
        <f t="shared" ref="E52:N52" si="11">E45*$C$52</f>
        <v>0</v>
      </c>
      <c r="F52" s="4120">
        <f t="shared" si="11"/>
        <v>0</v>
      </c>
      <c r="G52" s="4120">
        <f t="shared" si="11"/>
        <v>0</v>
      </c>
      <c r="H52" s="4120">
        <f t="shared" si="11"/>
        <v>0</v>
      </c>
      <c r="I52" s="4120">
        <f t="shared" si="11"/>
        <v>0</v>
      </c>
      <c r="J52" s="4120">
        <f t="shared" si="11"/>
        <v>0</v>
      </c>
      <c r="K52" s="4120">
        <f t="shared" si="11"/>
        <v>0</v>
      </c>
      <c r="L52" s="4120">
        <f t="shared" si="11"/>
        <v>0</v>
      </c>
      <c r="M52" s="4120">
        <f t="shared" si="11"/>
        <v>0</v>
      </c>
      <c r="N52" s="4120">
        <f t="shared" si="11"/>
        <v>0</v>
      </c>
      <c r="O52" s="4469">
        <f t="shared" si="3"/>
        <v>0</v>
      </c>
      <c r="P52" s="4122">
        <f>AVERAGE(E52:N52)</f>
        <v>0</v>
      </c>
      <c r="Q52" s="4123">
        <f>SUM(E52:N52)</f>
        <v>0</v>
      </c>
      <c r="R52" s="4124">
        <f>Q52/Q51</f>
        <v>0</v>
      </c>
    </row>
    <row r="53" spans="2:18">
      <c r="O53" s="4470"/>
    </row>
    <row r="54" spans="2:18">
      <c r="O54" s="4470"/>
      <c r="P54" s="22"/>
    </row>
    <row r="55" spans="2:18" ht="20.399999999999999">
      <c r="B55" s="4076"/>
      <c r="C55" s="4077"/>
      <c r="D55" s="4108" t="s">
        <v>1681</v>
      </c>
      <c r="E55" s="4126">
        <f>(SUM(E6:E7)/SUM(E4:E5))-1</f>
        <v>3.5609640638900375E-2</v>
      </c>
      <c r="F55" s="4126">
        <f>(SUM(F6:F7)/SUM(F4:F5))-1</f>
        <v>-9.3706379206700108E-2</v>
      </c>
      <c r="G55" s="4126">
        <f>(SUM(G6:G7)/SUM(G4:G5))-1</f>
        <v>-0.25138049323939826</v>
      </c>
      <c r="H55" s="4126">
        <f>(SUM(H6:H7)/SUM(H4:H5))-1</f>
        <v>-2.0960546029632043E-2</v>
      </c>
      <c r="I55" s="4126">
        <f>(SUM(I6:I7)/SUM(I4:I5))-1</f>
        <v>5.881787261610727E-2</v>
      </c>
      <c r="J55" s="4126"/>
      <c r="K55" s="4126">
        <f>(SUM(K6:K7)/SUM(K4:K5))-1</f>
        <v>-5.7530306282692845E-2</v>
      </c>
      <c r="L55" s="4126">
        <f>(SUM(L6:L7)/SUM(L4:L5))-1</f>
        <v>7.8909315618723941E-2</v>
      </c>
      <c r="M55" s="4126"/>
      <c r="N55" s="4126"/>
      <c r="O55" s="4455"/>
      <c r="P55" s="4077"/>
      <c r="Q55" s="4077"/>
      <c r="R55" s="4077"/>
    </row>
    <row r="56" spans="2:18" ht="20.399999999999999">
      <c r="B56" s="4076"/>
      <c r="C56" s="4077"/>
      <c r="D56" s="4114" t="s">
        <v>1682</v>
      </c>
      <c r="E56" s="4127">
        <f>IF(E8=0,"",(SUM(E8:E11)/SUM(E6:E7))-1)</f>
        <v>0.38092460949198492</v>
      </c>
      <c r="F56" s="4127" t="str">
        <f>IF(F8=0,"",(SUM(F8:F11)/SUM(F6:F7))-1)</f>
        <v/>
      </c>
      <c r="G56" s="4127" t="str">
        <f>IF(G8=0,"",(SUM(G8:G11)/SUM(G6:G7))-1)</f>
        <v/>
      </c>
      <c r="H56" s="4127" t="str">
        <f>IF(H8=0,"",(SUM(H8:H11)/SUM(H6:H7))-1)</f>
        <v/>
      </c>
      <c r="I56" s="4127">
        <f>IF(I8=0,"",(SUM(I8:I11)/SUM(I6:I7))-1)</f>
        <v>-0.98437836106636334</v>
      </c>
      <c r="J56" s="4127" t="str">
        <f>IF(J6=0,"",(SUM(J8:J11)/SUM(J6:J7))-1)</f>
        <v/>
      </c>
      <c r="K56" s="4127">
        <f>IF(K8=0,"",(SUM(K8:K11)/SUM(K6:K7))-1)</f>
        <v>-0.34270605347681793</v>
      </c>
      <c r="L56" s="4127">
        <f>IF(L8=0,"",(SUM(L8:L11)/SUM(L6:L7))-1)</f>
        <v>-0.66441287287591155</v>
      </c>
      <c r="M56" s="4127" t="str">
        <f>IF(M8=0,"",(SUM(M8:M11)/SUM(M6:M7))-1)</f>
        <v/>
      </c>
      <c r="N56" s="4127" t="str">
        <f>IF(N8=0,"",(SUM(N8:N11)/SUM(N6:N7))-1)</f>
        <v/>
      </c>
      <c r="O56" s="4455"/>
      <c r="P56" s="4077"/>
      <c r="Q56" s="4077"/>
      <c r="R56" s="4077"/>
    </row>
    <row r="57" spans="2:18" ht="20.399999999999999">
      <c r="B57" s="4076"/>
      <c r="C57" s="4077"/>
      <c r="D57" s="4095" t="s">
        <v>1683</v>
      </c>
      <c r="E57" s="4128">
        <f t="shared" ref="E57:N57" si="12">IF(E8=0,"",(SUM(E12:E14)/SUM(E8:E11))-1)</f>
        <v>-0.7428775253966442</v>
      </c>
      <c r="F57" s="4128" t="str">
        <f t="shared" si="12"/>
        <v/>
      </c>
      <c r="G57" s="4128" t="str">
        <f t="shared" si="12"/>
        <v/>
      </c>
      <c r="H57" s="4128" t="str">
        <f t="shared" si="12"/>
        <v/>
      </c>
      <c r="I57" s="4128">
        <f t="shared" si="12"/>
        <v>57.970012239902083</v>
      </c>
      <c r="J57" s="4128">
        <f t="shared" si="12"/>
        <v>0.81406175121517088</v>
      </c>
      <c r="K57" s="4128">
        <f t="shared" si="12"/>
        <v>0.65881237233732137</v>
      </c>
      <c r="L57" s="4128">
        <f t="shared" si="12"/>
        <v>0.83754800170672739</v>
      </c>
      <c r="M57" s="4128" t="str">
        <f t="shared" si="12"/>
        <v/>
      </c>
      <c r="N57" s="4128" t="str">
        <f t="shared" si="12"/>
        <v/>
      </c>
      <c r="O57" s="4455"/>
      <c r="P57" s="4077"/>
      <c r="Q57" s="4077"/>
      <c r="R57" s="4077"/>
    </row>
    <row r="58" spans="2:18" ht="20.399999999999999">
      <c r="B58" s="4076"/>
      <c r="C58" s="4077"/>
      <c r="D58" s="4119" t="s">
        <v>1684</v>
      </c>
      <c r="E58" s="4129"/>
      <c r="F58" s="4129"/>
      <c r="G58" s="4129"/>
      <c r="H58" s="4129"/>
      <c r="I58" s="4129"/>
      <c r="J58" s="4129"/>
      <c r="K58" s="4129"/>
      <c r="L58" s="4129"/>
      <c r="M58" s="4129"/>
      <c r="N58" s="4129"/>
      <c r="O58" s="4455"/>
      <c r="P58" s="4077"/>
      <c r="Q58" s="4077"/>
      <c r="R58" s="4077"/>
    </row>
  </sheetData>
  <mergeCells count="1">
    <mergeCell ref="B1:R1"/>
  </mergeCells>
  <phoneticPr fontId="11" type="noConversion"/>
  <conditionalFormatting sqref="E23:O23">
    <cfRule type="colorScale" priority="16">
      <colorScale>
        <cfvo type="min"/>
        <cfvo type="percentile" val="50"/>
        <cfvo type="max"/>
        <color rgb="FFF8696B"/>
        <color rgb="FFFFEB84"/>
        <color rgb="FF63BE7B"/>
      </colorScale>
    </cfRule>
  </conditionalFormatting>
  <conditionalFormatting sqref="E24:O24">
    <cfRule type="colorScale" priority="15">
      <colorScale>
        <cfvo type="min"/>
        <cfvo type="percentile" val="50"/>
        <cfvo type="max"/>
        <color rgb="FFF8696B"/>
        <color rgb="FFFFEB84"/>
        <color rgb="FF63BE7B"/>
      </colorScale>
    </cfRule>
  </conditionalFormatting>
  <conditionalFormatting sqref="E25:O25">
    <cfRule type="colorScale" priority="14">
      <colorScale>
        <cfvo type="min"/>
        <cfvo type="percentile" val="50"/>
        <cfvo type="max"/>
        <color rgb="FFF8696B"/>
        <color rgb="FFFFEB84"/>
        <color rgb="FF63BE7B"/>
      </colorScale>
    </cfRule>
  </conditionalFormatting>
  <conditionalFormatting sqref="E27:O27">
    <cfRule type="colorScale" priority="13">
      <colorScale>
        <cfvo type="min"/>
        <cfvo type="percentile" val="50"/>
        <cfvo type="max"/>
        <color rgb="FFF8696B"/>
        <color rgb="FFFFEB84"/>
        <color rgb="FF63BE7B"/>
      </colorScale>
    </cfRule>
  </conditionalFormatting>
  <conditionalFormatting sqref="E28:O28">
    <cfRule type="colorScale" priority="12">
      <colorScale>
        <cfvo type="min"/>
        <cfvo type="percentile" val="50"/>
        <cfvo type="max"/>
        <color rgb="FFF8696B"/>
        <color rgb="FFFFEB84"/>
        <color rgb="FF63BE7B"/>
      </colorScale>
    </cfRule>
  </conditionalFormatting>
  <conditionalFormatting sqref="E29:O29">
    <cfRule type="colorScale" priority="11">
      <colorScale>
        <cfvo type="min"/>
        <cfvo type="percentile" val="50"/>
        <cfvo type="max"/>
        <color rgb="FFF8696B"/>
        <color rgb="FFFFEB84"/>
        <color rgb="FF63BE7B"/>
      </colorScale>
    </cfRule>
  </conditionalFormatting>
  <conditionalFormatting sqref="E31:O31">
    <cfRule type="colorScale" priority="10">
      <colorScale>
        <cfvo type="min"/>
        <cfvo type="percentile" val="50"/>
        <cfvo type="max"/>
        <color rgb="FFF8696B"/>
        <color rgb="FFFFEB84"/>
        <color rgb="FF63BE7B"/>
      </colorScale>
    </cfRule>
  </conditionalFormatting>
  <conditionalFormatting sqref="E32:O32">
    <cfRule type="colorScale" priority="9">
      <colorScale>
        <cfvo type="min"/>
        <cfvo type="percentile" val="50"/>
        <cfvo type="max"/>
        <color rgb="FFF8696B"/>
        <color rgb="FFFFEB84"/>
        <color rgb="FF63BE7B"/>
      </colorScale>
    </cfRule>
  </conditionalFormatting>
  <conditionalFormatting sqref="E33:O33">
    <cfRule type="colorScale" priority="8">
      <colorScale>
        <cfvo type="min"/>
        <cfvo type="percentile" val="50"/>
        <cfvo type="max"/>
        <color rgb="FFF8696B"/>
        <color rgb="FFFFEB84"/>
        <color rgb="FF63BE7B"/>
      </colorScale>
    </cfRule>
  </conditionalFormatting>
  <conditionalFormatting sqref="E35:O35">
    <cfRule type="colorScale" priority="7">
      <colorScale>
        <cfvo type="min"/>
        <cfvo type="percentile" val="50"/>
        <cfvo type="max"/>
        <color rgb="FFF8696B"/>
        <color rgb="FFFFEB84"/>
        <color rgb="FF63BE7B"/>
      </colorScale>
    </cfRule>
  </conditionalFormatting>
  <conditionalFormatting sqref="E36:O36">
    <cfRule type="colorScale" priority="6">
      <colorScale>
        <cfvo type="min"/>
        <cfvo type="percentile" val="50"/>
        <cfvo type="max"/>
        <color rgb="FFF8696B"/>
        <color rgb="FFFFEB84"/>
        <color rgb="FF63BE7B"/>
      </colorScale>
    </cfRule>
  </conditionalFormatting>
  <conditionalFormatting sqref="E37:O37">
    <cfRule type="colorScale" priority="5">
      <colorScale>
        <cfvo type="min"/>
        <cfvo type="percentile" val="50"/>
        <cfvo type="max"/>
        <color rgb="FFF8696B"/>
        <color rgb="FFFFEB84"/>
        <color rgb="FF63BE7B"/>
      </colorScale>
    </cfRule>
  </conditionalFormatting>
  <conditionalFormatting sqref="Q23:Q25">
    <cfRule type="colorScale" priority="4">
      <colorScale>
        <cfvo type="min"/>
        <cfvo type="percentile" val="50"/>
        <cfvo type="max"/>
        <color rgb="FFF8696B"/>
        <color rgb="FFFFEB84"/>
        <color rgb="FF63BE7B"/>
      </colorScale>
    </cfRule>
  </conditionalFormatting>
  <conditionalFormatting sqref="Q27:Q29">
    <cfRule type="colorScale" priority="3">
      <colorScale>
        <cfvo type="min"/>
        <cfvo type="percentile" val="50"/>
        <cfvo type="max"/>
        <color rgb="FFF8696B"/>
        <color rgb="FFFFEB84"/>
        <color rgb="FF63BE7B"/>
      </colorScale>
    </cfRule>
  </conditionalFormatting>
  <conditionalFormatting sqref="Q31:Q33">
    <cfRule type="colorScale" priority="2">
      <colorScale>
        <cfvo type="min"/>
        <cfvo type="percentile" val="50"/>
        <cfvo type="max"/>
        <color rgb="FFF8696B"/>
        <color rgb="FFFFEB84"/>
        <color rgb="FF63BE7B"/>
      </colorScale>
    </cfRule>
  </conditionalFormatting>
  <conditionalFormatting sqref="Q35:Q37">
    <cfRule type="colorScale" priority="1">
      <colorScale>
        <cfvo type="min"/>
        <cfvo type="percentile" val="50"/>
        <cfvo type="max"/>
        <color rgb="FFF8696B"/>
        <color rgb="FFFFEB84"/>
        <color rgb="FF63BE7B"/>
      </colorScale>
    </cfRule>
  </conditionalFormatting>
  <pageMargins left="0.15748031496062992" right="0.15748031496062992" top="0.51181102362204722" bottom="0.43307086614173229" header="0.31496062992125984" footer="0.31496062992125984"/>
  <pageSetup paperSize="9" scale="37" fitToHeight="2" orientation="landscape" verticalDpi="597"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AF5F-CCA3-4AF2-BF21-D15B59C8C14C}">
  <sheetPr>
    <tabColor rgb="FF7030A0"/>
    <pageSetUpPr fitToPage="1"/>
  </sheetPr>
  <dimension ref="A1:AD70"/>
  <sheetViews>
    <sheetView topLeftCell="O1" zoomScale="90" zoomScaleNormal="90" workbookViewId="0">
      <selection activeCell="T11" sqref="T11:X11"/>
    </sheetView>
  </sheetViews>
  <sheetFormatPr baseColWidth="10" defaultRowHeight="14.4"/>
  <cols>
    <col min="2" max="2" width="21.88671875" customWidth="1"/>
    <col min="3" max="3" width="2.6640625" customWidth="1"/>
    <col min="4" max="5" width="11.5546875" customWidth="1"/>
    <col min="6" max="9" width="12" customWidth="1"/>
    <col min="10" max="10" width="13" bestFit="1" customWidth="1"/>
    <col min="11" max="16" width="13" customWidth="1"/>
    <col min="17" max="17" width="6.5546875" customWidth="1"/>
    <col min="18" max="18" width="21" customWidth="1"/>
    <col min="19" max="19" width="2" bestFit="1" customWidth="1"/>
    <col min="20" max="20" width="11.5546875" customWidth="1"/>
    <col min="21" max="24" width="11.88671875" customWidth="1"/>
    <col min="25" max="25" width="19.44140625" customWidth="1"/>
    <col min="26" max="26" width="18.44140625" customWidth="1"/>
    <col min="27" max="27" width="20.44140625" customWidth="1"/>
    <col min="28" max="28" width="19.88671875" customWidth="1"/>
    <col min="29" max="29" width="11.88671875" customWidth="1"/>
    <col min="30" max="30" width="13" customWidth="1"/>
  </cols>
  <sheetData>
    <row r="1" spans="1:30">
      <c r="B1" s="4130" t="s">
        <v>1685</v>
      </c>
      <c r="C1" s="4131"/>
      <c r="D1" s="4132"/>
      <c r="E1" s="4132"/>
      <c r="F1" s="4132"/>
      <c r="G1" s="4132"/>
      <c r="H1" s="4132"/>
      <c r="I1" s="4132"/>
      <c r="J1" s="4132"/>
      <c r="K1" s="4132"/>
      <c r="L1" s="4132"/>
      <c r="M1" s="4132"/>
      <c r="N1" s="4132"/>
      <c r="O1" s="4132"/>
      <c r="P1" s="4133"/>
      <c r="Q1" s="45"/>
      <c r="R1" s="4134" t="s">
        <v>1686</v>
      </c>
      <c r="S1" s="4135"/>
      <c r="T1" s="4136"/>
      <c r="U1" s="4136"/>
      <c r="V1" s="4136"/>
      <c r="W1" s="4132"/>
      <c r="X1" s="4132"/>
      <c r="Y1" s="4132"/>
      <c r="Z1" s="4132"/>
      <c r="AA1" s="4132"/>
      <c r="AB1" s="4132"/>
      <c r="AC1" s="4133"/>
      <c r="AD1" s="45"/>
    </row>
    <row r="2" spans="1:30">
      <c r="B2" s="4137"/>
      <c r="C2" s="4138"/>
      <c r="D2" s="45"/>
      <c r="E2" s="45"/>
      <c r="F2" s="45"/>
      <c r="G2" s="45"/>
      <c r="H2" s="45"/>
      <c r="I2" s="45"/>
      <c r="J2" s="45"/>
      <c r="K2" s="45"/>
      <c r="L2" s="45"/>
      <c r="M2" s="45"/>
      <c r="N2" s="45"/>
      <c r="O2" s="45"/>
      <c r="P2" s="4139"/>
      <c r="Q2" s="45"/>
      <c r="R2" s="4140"/>
      <c r="S2" s="4141"/>
      <c r="T2" s="4142"/>
      <c r="U2" s="4142"/>
      <c r="V2" s="4142"/>
      <c r="W2" s="45"/>
      <c r="X2" s="45"/>
      <c r="Y2" s="45"/>
      <c r="Z2" s="45"/>
      <c r="AA2" s="45"/>
      <c r="AB2" s="45"/>
      <c r="AC2" s="4139"/>
      <c r="AD2" s="45"/>
    </row>
    <row r="3" spans="1:30" ht="28.8">
      <c r="A3" s="21"/>
      <c r="B3" s="4143"/>
      <c r="C3" s="4144"/>
      <c r="D3" s="4145">
        <v>2014</v>
      </c>
      <c r="E3" s="4145">
        <v>2015</v>
      </c>
      <c r="F3" s="4145">
        <v>2016</v>
      </c>
      <c r="G3" s="4145">
        <v>2017</v>
      </c>
      <c r="H3" s="4145" t="s">
        <v>1687</v>
      </c>
      <c r="I3" s="4145">
        <v>2019</v>
      </c>
      <c r="J3" s="4145" t="s">
        <v>1688</v>
      </c>
      <c r="K3" s="5593" t="s">
        <v>1419</v>
      </c>
      <c r="L3" s="5593"/>
      <c r="M3" s="5594" t="s">
        <v>1588</v>
      </c>
      <c r="N3" s="5594"/>
      <c r="O3" s="4145"/>
      <c r="P3" s="4146"/>
      <c r="Q3" s="2163"/>
      <c r="R3" s="4147"/>
      <c r="S3" s="2163"/>
      <c r="T3" s="4145">
        <v>2015</v>
      </c>
      <c r="U3" s="4145">
        <v>2016</v>
      </c>
      <c r="V3" s="4145">
        <v>2017</v>
      </c>
      <c r="W3" s="4145">
        <v>2018</v>
      </c>
      <c r="X3" s="4145">
        <v>2019</v>
      </c>
      <c r="Y3" s="4145" t="s">
        <v>1688</v>
      </c>
      <c r="Z3" s="4148">
        <v>2021</v>
      </c>
      <c r="AA3" s="4149" t="s">
        <v>1588</v>
      </c>
      <c r="AB3" s="4145"/>
      <c r="AC3" s="4146"/>
      <c r="AD3" s="2163"/>
    </row>
    <row r="4" spans="1:30">
      <c r="A4" s="2818"/>
      <c r="B4" s="4150"/>
      <c r="C4" s="2818"/>
      <c r="D4" s="2818"/>
      <c r="E4" s="4145" t="s">
        <v>1689</v>
      </c>
      <c r="F4" s="4145" t="s">
        <v>1690</v>
      </c>
      <c r="G4" s="4151" t="s">
        <v>1691</v>
      </c>
      <c r="H4" s="4151" t="s">
        <v>1692</v>
      </c>
      <c r="I4" s="4145" t="s">
        <v>1693</v>
      </c>
      <c r="J4" s="4145" t="s">
        <v>1694</v>
      </c>
      <c r="K4" s="5593" t="s">
        <v>1695</v>
      </c>
      <c r="L4" s="5593"/>
      <c r="M4" s="5594" t="s">
        <v>1905</v>
      </c>
      <c r="N4" s="5594"/>
      <c r="O4" s="4145"/>
      <c r="P4" s="4146"/>
      <c r="Q4" s="2818"/>
      <c r="R4" s="4150" t="s">
        <v>1696</v>
      </c>
      <c r="S4" s="2158"/>
      <c r="T4" s="4145" t="s">
        <v>1689</v>
      </c>
      <c r="U4" s="4145" t="s">
        <v>1690</v>
      </c>
      <c r="V4" s="4145" t="s">
        <v>1697</v>
      </c>
      <c r="W4" s="4151" t="s">
        <v>1692</v>
      </c>
      <c r="X4" s="4145" t="s">
        <v>1693</v>
      </c>
      <c r="Y4" s="4145" t="s">
        <v>1694</v>
      </c>
      <c r="Z4" s="4148" t="s">
        <v>1897</v>
      </c>
      <c r="AA4" s="4598" t="s">
        <v>1899</v>
      </c>
      <c r="AB4" s="4145"/>
      <c r="AC4" s="4146"/>
      <c r="AD4" s="2818"/>
    </row>
    <row r="5" spans="1:30">
      <c r="A5" s="2818"/>
      <c r="B5" s="4150"/>
      <c r="C5" s="2818"/>
      <c r="D5" s="2818"/>
      <c r="E5" s="4145"/>
      <c r="F5" s="4145"/>
      <c r="G5" s="4151"/>
      <c r="H5" s="4151"/>
      <c r="I5" s="4145"/>
      <c r="J5" s="4145"/>
      <c r="K5" s="4148" t="s">
        <v>1698</v>
      </c>
      <c r="L5" s="4148" t="s">
        <v>1699</v>
      </c>
      <c r="M5" s="4149" t="s">
        <v>1698</v>
      </c>
      <c r="N5" s="4149" t="s">
        <v>1699</v>
      </c>
      <c r="O5" s="4145"/>
      <c r="P5" s="4146"/>
      <c r="Q5" s="2818"/>
      <c r="R5" s="4150"/>
      <c r="S5" s="2158"/>
      <c r="T5" s="4145"/>
      <c r="U5" s="4145"/>
      <c r="V5" s="4145"/>
      <c r="W5" s="4151"/>
      <c r="X5" s="4145"/>
      <c r="Y5" s="4145"/>
      <c r="Z5" s="4148"/>
      <c r="AA5" s="4149"/>
      <c r="AB5" s="4145"/>
      <c r="AC5" s="4146"/>
      <c r="AD5" s="2818"/>
    </row>
    <row r="6" spans="1:30">
      <c r="B6" s="4152" t="s">
        <v>1700</v>
      </c>
      <c r="C6" s="4153"/>
      <c r="D6" s="4154"/>
      <c r="E6" s="4154"/>
      <c r="F6" s="4154">
        <v>6766</v>
      </c>
      <c r="G6" s="4154">
        <v>5443</v>
      </c>
      <c r="H6" s="4154">
        <v>7575</v>
      </c>
      <c r="I6" s="4154">
        <v>6964</v>
      </c>
      <c r="J6" s="4154">
        <f>I6*AG12+I6</f>
        <v>6964</v>
      </c>
      <c r="K6" s="4155">
        <f>719+411+557+1264</f>
        <v>2951</v>
      </c>
      <c r="L6" s="4155">
        <f>683+733+821+655</f>
        <v>2892</v>
      </c>
      <c r="M6" s="4156">
        <f>2391+1402+1999+3219</f>
        <v>9011</v>
      </c>
      <c r="N6" s="4156">
        <f>1990+1845+2433+2086</f>
        <v>8354</v>
      </c>
      <c r="O6" s="4157"/>
      <c r="P6" s="4158"/>
      <c r="R6" s="4152" t="s">
        <v>1701</v>
      </c>
      <c r="S6" s="4159"/>
      <c r="T6" s="4160">
        <f>22763+17017+15300+15232</f>
        <v>70312</v>
      </c>
      <c r="U6" s="4160">
        <f>24599+17221+15980+16218</f>
        <v>74018</v>
      </c>
      <c r="V6" s="4160">
        <f>23544+18054+16848+17424</f>
        <v>75870</v>
      </c>
      <c r="W6" s="4161">
        <f>24192+18018+17226+17532</f>
        <v>76968</v>
      </c>
      <c r="X6" s="4161">
        <f>21600+19700+17300+19162</f>
        <v>77762</v>
      </c>
      <c r="Y6" s="4161">
        <v>87248</v>
      </c>
      <c r="Z6" s="4162">
        <f>5390+5620+5350+5320+5260</f>
        <v>26940</v>
      </c>
      <c r="AA6" s="4163">
        <f>10788+10932+9000+8748+9312</f>
        <v>48780</v>
      </c>
      <c r="AB6" s="4164"/>
      <c r="AC6" s="4165"/>
    </row>
    <row r="7" spans="1:30">
      <c r="B7" s="44"/>
      <c r="K7" s="4166"/>
      <c r="L7" s="4426">
        <f>SUM(K6:L6)</f>
        <v>5843</v>
      </c>
      <c r="M7" s="4167"/>
      <c r="N7" s="4427">
        <f>SUM(M6:N6)</f>
        <v>17365</v>
      </c>
      <c r="P7" s="4168"/>
      <c r="R7" s="4152" t="s">
        <v>1702</v>
      </c>
      <c r="S7" s="4159"/>
      <c r="T7" s="4160">
        <f>8800+7560+7480+7800</f>
        <v>31640</v>
      </c>
      <c r="U7" s="4160">
        <f>9580+8380+8280+8460</f>
        <v>34700</v>
      </c>
      <c r="V7" s="4160">
        <f>10760+8820+8360+9060</f>
        <v>37000</v>
      </c>
      <c r="W7" s="4161">
        <f>11240+8520+9280+8940</f>
        <v>37980</v>
      </c>
      <c r="X7" s="4161">
        <f>12400+10300+9800+9660</f>
        <v>42160</v>
      </c>
      <c r="Y7" s="4161">
        <v>41008</v>
      </c>
      <c r="Z7" s="4162">
        <f>2580+2510+2540+2580+2060</f>
        <v>12270</v>
      </c>
      <c r="AA7" s="4163">
        <f>5628+5268+4584+4512+4704</f>
        <v>24696</v>
      </c>
      <c r="AB7" s="4164"/>
      <c r="AC7" s="4165"/>
    </row>
    <row r="8" spans="1:30">
      <c r="B8" s="44"/>
      <c r="D8" s="4157"/>
      <c r="E8" s="4157"/>
      <c r="F8" s="4157"/>
      <c r="K8" s="4166"/>
      <c r="L8" s="4166"/>
      <c r="M8" s="4167"/>
      <c r="N8" s="4167"/>
      <c r="P8" s="4168"/>
      <c r="R8" s="4169" t="s">
        <v>32</v>
      </c>
      <c r="S8" s="2820"/>
      <c r="T8" s="4170">
        <f t="shared" ref="T8:AA8" si="0">T6+T7</f>
        <v>101952</v>
      </c>
      <c r="U8" s="4170">
        <f t="shared" si="0"/>
        <v>108718</v>
      </c>
      <c r="V8" s="4170">
        <f t="shared" si="0"/>
        <v>112870</v>
      </c>
      <c r="W8" s="4170">
        <f t="shared" si="0"/>
        <v>114948</v>
      </c>
      <c r="X8" s="4170">
        <f t="shared" si="0"/>
        <v>119922</v>
      </c>
      <c r="Y8" s="4170">
        <f t="shared" si="0"/>
        <v>128256</v>
      </c>
      <c r="Z8" s="4171">
        <f t="shared" si="0"/>
        <v>39210</v>
      </c>
      <c r="AA8" s="4172">
        <f t="shared" si="0"/>
        <v>73476</v>
      </c>
      <c r="AB8" s="4173"/>
      <c r="AC8" s="4174"/>
      <c r="AD8" s="4175"/>
    </row>
    <row r="9" spans="1:30">
      <c r="B9" s="4176"/>
      <c r="C9" s="4177"/>
      <c r="D9" s="4157"/>
      <c r="E9" s="4178"/>
      <c r="F9" s="4178"/>
      <c r="G9" s="4178">
        <f>G6/F6-1</f>
        <v>-0.19553650605971029</v>
      </c>
      <c r="H9" s="4178">
        <f>H6/G6-1</f>
        <v>0.39169575601690254</v>
      </c>
      <c r="I9" s="4178">
        <f>I6/H6-1</f>
        <v>-8.0660066006600695E-2</v>
      </c>
      <c r="J9" s="4178">
        <f>J6/I6-1</f>
        <v>0</v>
      </c>
      <c r="K9" s="5595">
        <f>(K6+L6)/J6-1</f>
        <v>-0.1609707064905227</v>
      </c>
      <c r="L9" s="5595"/>
      <c r="M9" s="5596">
        <f>((M6+N6)/(K6+L6))-1</f>
        <v>1.9719322265959267</v>
      </c>
      <c r="N9" s="5596"/>
      <c r="O9" s="4179"/>
      <c r="P9" s="300"/>
      <c r="R9" s="4169"/>
      <c r="S9" s="2820"/>
      <c r="T9" s="4170"/>
      <c r="U9" s="4180">
        <f t="shared" ref="U9:AA9" si="1">U8/T8-1</f>
        <v>6.6364563716258651E-2</v>
      </c>
      <c r="V9" s="4180">
        <f t="shared" si="1"/>
        <v>3.8190548023326443E-2</v>
      </c>
      <c r="W9" s="4180">
        <f t="shared" si="1"/>
        <v>1.8410560822184729E-2</v>
      </c>
      <c r="X9" s="4180">
        <f t="shared" si="1"/>
        <v>4.327174026516345E-2</v>
      </c>
      <c r="Y9" s="4180">
        <f t="shared" si="1"/>
        <v>6.9495171861710059E-2</v>
      </c>
      <c r="Z9" s="4181">
        <f t="shared" si="1"/>
        <v>-0.6942833083832336</v>
      </c>
      <c r="AA9" s="4182">
        <f t="shared" si="1"/>
        <v>0.87390971690895181</v>
      </c>
      <c r="AB9" s="4183"/>
      <c r="AC9" s="4184"/>
    </row>
    <row r="10" spans="1:30">
      <c r="B10" s="4185"/>
      <c r="C10" s="4186"/>
      <c r="D10" s="4187"/>
      <c r="E10" s="4188"/>
      <c r="F10" s="4188"/>
      <c r="G10" s="4189">
        <f>G6-F6</f>
        <v>-1323</v>
      </c>
      <c r="H10" s="4189">
        <f>H6-G6</f>
        <v>2132</v>
      </c>
      <c r="I10" s="4189">
        <f>I6-H6</f>
        <v>-611</v>
      </c>
      <c r="J10" s="4190">
        <f>J6-I6</f>
        <v>0</v>
      </c>
      <c r="K10" s="5599">
        <f>(K6+L6)-J6</f>
        <v>-1121</v>
      </c>
      <c r="L10" s="5599"/>
      <c r="M10" s="5600">
        <f>(M6+N6)-(L6+K6)</f>
        <v>11522</v>
      </c>
      <c r="N10" s="5600"/>
      <c r="O10" s="4191"/>
      <c r="P10" s="4192"/>
      <c r="Q10" s="4193"/>
      <c r="R10" s="4194"/>
      <c r="S10" s="4195"/>
      <c r="T10" s="4190"/>
      <c r="U10" s="4188"/>
      <c r="V10" s="4196">
        <f t="shared" ref="V10:AA10" si="2">V8-U8</f>
        <v>4152</v>
      </c>
      <c r="W10" s="4196">
        <f t="shared" si="2"/>
        <v>2078</v>
      </c>
      <c r="X10" s="4196">
        <f t="shared" si="2"/>
        <v>4974</v>
      </c>
      <c r="Y10" s="4196">
        <f t="shared" si="2"/>
        <v>8334</v>
      </c>
      <c r="Z10" s="4197">
        <f t="shared" si="2"/>
        <v>-89046</v>
      </c>
      <c r="AA10" s="4198">
        <f t="shared" si="2"/>
        <v>34266</v>
      </c>
      <c r="AB10" s="4199"/>
      <c r="AC10" s="4200"/>
      <c r="AD10" s="4193"/>
    </row>
    <row r="11" spans="1:30" ht="40.799999999999997" customHeight="1">
      <c r="B11" s="44"/>
      <c r="F11" s="4201" t="s">
        <v>1703</v>
      </c>
      <c r="G11" s="4201" t="s">
        <v>1704</v>
      </c>
      <c r="H11" s="4201" t="s">
        <v>1705</v>
      </c>
      <c r="I11" s="4201" t="s">
        <v>1706</v>
      </c>
      <c r="J11" s="4201" t="s">
        <v>866</v>
      </c>
      <c r="K11" s="5601" t="s">
        <v>1707</v>
      </c>
      <c r="L11" s="5601"/>
      <c r="M11" s="5602"/>
      <c r="N11" s="5602"/>
      <c r="O11" s="4202"/>
      <c r="P11" s="4203"/>
      <c r="R11" s="44"/>
      <c r="S11" s="2820"/>
      <c r="T11" s="5592" t="s">
        <v>1708</v>
      </c>
      <c r="U11" s="5592"/>
      <c r="V11" s="5592"/>
      <c r="W11" s="5592"/>
      <c r="X11" s="5592"/>
      <c r="Y11" s="1122" t="s">
        <v>866</v>
      </c>
      <c r="Z11" s="4204" t="s">
        <v>1709</v>
      </c>
      <c r="AA11" s="4205" t="s">
        <v>1709</v>
      </c>
      <c r="AB11" s="4206"/>
      <c r="AC11" s="4207"/>
      <c r="AD11" s="1122"/>
    </row>
    <row r="12" spans="1:30">
      <c r="B12" s="44"/>
      <c r="K12" s="4166"/>
      <c r="L12" s="4166"/>
      <c r="M12" s="4167"/>
      <c r="N12" s="4167"/>
      <c r="P12" s="4168"/>
      <c r="R12" s="44"/>
      <c r="S12" s="2820"/>
      <c r="Z12" s="4500"/>
      <c r="AA12" s="4500"/>
      <c r="AB12" s="4500"/>
      <c r="AC12" s="4168"/>
    </row>
    <row r="13" spans="1:30">
      <c r="B13" s="4208" t="s">
        <v>1710</v>
      </c>
      <c r="C13" s="4209">
        <v>4</v>
      </c>
      <c r="D13" s="4157">
        <f t="shared" ref="D13:J13" si="3">D6/$C$13</f>
        <v>0</v>
      </c>
      <c r="E13" s="4157">
        <f t="shared" si="3"/>
        <v>0</v>
      </c>
      <c r="F13" s="4157">
        <f t="shared" si="3"/>
        <v>1691.5</v>
      </c>
      <c r="G13" s="4157">
        <f t="shared" si="3"/>
        <v>1360.75</v>
      </c>
      <c r="H13" s="4157">
        <f t="shared" si="3"/>
        <v>1893.75</v>
      </c>
      <c r="I13" s="4157">
        <f t="shared" si="3"/>
        <v>1741</v>
      </c>
      <c r="J13" s="4157">
        <f t="shared" si="3"/>
        <v>1741</v>
      </c>
      <c r="K13" s="5597">
        <f>(K6+L6)/$C$13</f>
        <v>1460.75</v>
      </c>
      <c r="L13" s="5597"/>
      <c r="M13" s="5598">
        <f>(M6+N6)/$C$13</f>
        <v>4341.25</v>
      </c>
      <c r="N13" s="5598"/>
      <c r="O13" s="4210"/>
      <c r="P13" s="4211"/>
      <c r="R13" s="4208" t="s">
        <v>1710</v>
      </c>
      <c r="S13" s="4212">
        <v>4</v>
      </c>
      <c r="T13" s="4213">
        <f>(T6+T7)/S13</f>
        <v>25488</v>
      </c>
      <c r="U13" s="4213">
        <f t="shared" ref="U13:AA13" si="4">(U6+U7)/$S$13</f>
        <v>27179.5</v>
      </c>
      <c r="V13" s="4213">
        <f t="shared" si="4"/>
        <v>28217.5</v>
      </c>
      <c r="W13" s="4213">
        <f t="shared" si="4"/>
        <v>28737</v>
      </c>
      <c r="X13" s="4213">
        <f t="shared" si="4"/>
        <v>29980.5</v>
      </c>
      <c r="Y13" s="4213">
        <f t="shared" si="4"/>
        <v>32064</v>
      </c>
      <c r="Z13" s="4213">
        <f t="shared" si="4"/>
        <v>9802.5</v>
      </c>
      <c r="AA13" s="4214">
        <f t="shared" si="4"/>
        <v>18369</v>
      </c>
      <c r="AB13" s="4213"/>
      <c r="AC13" s="4215"/>
    </row>
    <row r="14" spans="1:30">
      <c r="B14" s="4176"/>
      <c r="C14" s="4177"/>
      <c r="D14" s="4157"/>
      <c r="E14" s="4157"/>
      <c r="F14" s="4157"/>
      <c r="G14" s="4157"/>
      <c r="H14" s="4157"/>
      <c r="I14" s="4157"/>
      <c r="J14" s="4157"/>
      <c r="K14" s="4157"/>
      <c r="L14" s="4157"/>
      <c r="M14" s="4157"/>
      <c r="N14" s="4157"/>
      <c r="O14" s="4157"/>
      <c r="P14" s="4211"/>
      <c r="R14" s="4176"/>
      <c r="S14" s="4216"/>
      <c r="T14" s="4217"/>
      <c r="U14" s="4217"/>
      <c r="V14" s="4217"/>
      <c r="W14" s="4217"/>
      <c r="X14" s="4217"/>
      <c r="Y14" s="4217"/>
      <c r="Z14" s="4217"/>
      <c r="AA14" s="4217"/>
      <c r="AB14" s="4217"/>
      <c r="AC14" s="4218"/>
    </row>
    <row r="15" spans="1:30">
      <c r="B15" s="4176"/>
      <c r="C15" s="4177"/>
      <c r="D15" s="4157"/>
      <c r="E15" s="4157"/>
      <c r="F15" s="4157"/>
      <c r="G15" s="4157"/>
      <c r="H15" s="4157"/>
      <c r="I15" s="4157"/>
      <c r="J15" s="4157"/>
      <c r="K15" s="4157"/>
      <c r="L15" s="4157"/>
      <c r="M15" s="4157"/>
      <c r="N15" s="4157"/>
      <c r="O15" s="4157"/>
      <c r="P15" s="4211"/>
      <c r="R15" s="4219" t="s">
        <v>1668</v>
      </c>
      <c r="S15" s="4220"/>
      <c r="T15" s="4214"/>
      <c r="U15" s="4214"/>
      <c r="V15" s="4214"/>
      <c r="W15" s="4214"/>
      <c r="X15" s="4214"/>
      <c r="Y15" s="4221">
        <v>40000</v>
      </c>
      <c r="Z15" s="4214"/>
      <c r="AA15" s="4214"/>
      <c r="AB15" s="4214"/>
      <c r="AC15" s="4222"/>
    </row>
    <row r="16" spans="1:30">
      <c r="B16" s="4176"/>
      <c r="C16" s="4177"/>
      <c r="D16" s="4157"/>
      <c r="E16" s="4157"/>
      <c r="F16" s="4157"/>
      <c r="G16" s="4157"/>
      <c r="H16" s="4157"/>
      <c r="I16" s="4157"/>
      <c r="J16" s="4157"/>
      <c r="K16" s="4157"/>
      <c r="L16" s="4157"/>
      <c r="M16" s="4157"/>
      <c r="N16" s="4157"/>
      <c r="O16" s="4157"/>
      <c r="P16" s="4211"/>
      <c r="R16" s="4223"/>
      <c r="S16" s="4220"/>
      <c r="T16" s="4214"/>
      <c r="U16" s="4214"/>
      <c r="V16" s="4214"/>
      <c r="W16" s="4214"/>
      <c r="X16" s="4214"/>
      <c r="Y16" s="4224" t="s">
        <v>1711</v>
      </c>
      <c r="Z16" s="4214"/>
      <c r="AA16" s="4214"/>
      <c r="AB16" s="4214"/>
      <c r="AC16" s="4222"/>
    </row>
    <row r="17" spans="2:30" ht="15" thickBot="1">
      <c r="B17" s="4225"/>
      <c r="C17" s="4226"/>
      <c r="D17" s="4226"/>
      <c r="E17" s="4226"/>
      <c r="F17" s="4226"/>
      <c r="G17" s="4226"/>
      <c r="H17" s="4226"/>
      <c r="I17" s="4226"/>
      <c r="J17" s="4226"/>
      <c r="K17" s="4226"/>
      <c r="L17" s="4226"/>
      <c r="M17" s="4226"/>
      <c r="N17" s="4226"/>
      <c r="O17" s="4226"/>
      <c r="P17" s="4227"/>
      <c r="R17" s="4225"/>
      <c r="S17" s="4228"/>
      <c r="T17" s="4226"/>
      <c r="U17" s="4226"/>
      <c r="V17" s="4226"/>
      <c r="W17" s="4226"/>
      <c r="X17" s="4226"/>
      <c r="Y17" s="2824"/>
      <c r="Z17" s="4226"/>
      <c r="AA17" s="4226"/>
      <c r="AB17" s="4226"/>
      <c r="AC17" s="4227"/>
    </row>
    <row r="18" spans="2:30" ht="15" thickBot="1">
      <c r="S18" s="2820"/>
    </row>
    <row r="19" spans="2:30" ht="52.8">
      <c r="S19" s="2820"/>
      <c r="X19" s="4636" t="s">
        <v>535</v>
      </c>
      <c r="Y19" s="4637" t="s">
        <v>1898</v>
      </c>
      <c r="Z19" s="4638" t="s">
        <v>1904</v>
      </c>
      <c r="AA19" s="4638" t="s">
        <v>1903</v>
      </c>
    </row>
    <row r="20" spans="2:30">
      <c r="S20" s="2820"/>
      <c r="X20" s="4639">
        <v>2021</v>
      </c>
      <c r="Y20" s="4640">
        <f>Z8*100+L7*100</f>
        <v>4505300</v>
      </c>
      <c r="Z20" s="4641">
        <f>Z8+L6+K6</f>
        <v>45053</v>
      </c>
      <c r="AA20" s="4649" t="s">
        <v>1909</v>
      </c>
      <c r="AD20" s="4229"/>
    </row>
    <row r="21" spans="2:30" ht="15" thickBot="1">
      <c r="S21" s="2820"/>
      <c r="X21" s="4642">
        <v>2022</v>
      </c>
      <c r="Y21" s="4643">
        <f>AA8*100+N7*100</f>
        <v>9084100</v>
      </c>
      <c r="Z21" s="4644">
        <f>AA8+M6+N6</f>
        <v>90841</v>
      </c>
      <c r="AA21" s="4649" t="s">
        <v>1909</v>
      </c>
    </row>
    <row r="22" spans="2:30" ht="15" thickBot="1">
      <c r="X22" s="4651"/>
      <c r="Y22" s="4652"/>
      <c r="Z22" s="4652"/>
      <c r="AA22" s="4653"/>
    </row>
    <row r="23" spans="2:30" ht="15" thickBot="1">
      <c r="X23" s="4651"/>
      <c r="Y23" s="5584" t="s">
        <v>1900</v>
      </c>
      <c r="Z23" s="5585"/>
      <c r="AA23" s="4645">
        <f>Z21/Z20-1</f>
        <v>1.0163141189265974</v>
      </c>
    </row>
    <row r="24" spans="2:30" ht="15" thickBot="1">
      <c r="X24" s="4651"/>
      <c r="Y24" s="4652"/>
      <c r="Z24" s="4652"/>
      <c r="AA24" s="4646" t="s">
        <v>1901</v>
      </c>
    </row>
    <row r="25" spans="2:30">
      <c r="X25" s="4651"/>
      <c r="Y25" s="4652"/>
      <c r="Z25" s="4652"/>
      <c r="AA25" s="4653"/>
    </row>
    <row r="26" spans="2:30">
      <c r="X26" s="5586" t="s">
        <v>1902</v>
      </c>
      <c r="Y26" s="5587"/>
      <c r="Z26" s="5587"/>
      <c r="AA26" s="5588"/>
    </row>
    <row r="27" spans="2:30">
      <c r="X27" s="5586"/>
      <c r="Y27" s="5587"/>
      <c r="Z27" s="5587"/>
      <c r="AA27" s="5588"/>
    </row>
    <row r="28" spans="2:30" ht="15" thickBot="1">
      <c r="X28" s="5589"/>
      <c r="Y28" s="5590"/>
      <c r="Z28" s="5590"/>
      <c r="AA28" s="5591"/>
    </row>
    <row r="31" spans="2:30" ht="15" thickBot="1">
      <c r="T31" s="4648"/>
      <c r="U31" s="4648"/>
      <c r="V31" s="4648"/>
      <c r="W31" s="4648"/>
      <c r="X31" s="4648"/>
      <c r="Y31" s="4648"/>
      <c r="Z31" s="4648"/>
      <c r="AA31" s="4648"/>
      <c r="AB31" s="4648"/>
      <c r="AC31" s="4648"/>
      <c r="AD31" s="4648"/>
    </row>
    <row r="32" spans="2:30" ht="15" thickTop="1"/>
    <row r="33" spans="23:28" ht="15" thickBot="1"/>
    <row r="34" spans="23:28" ht="52.8">
      <c r="W34" s="43"/>
      <c r="X34" s="4636" t="s">
        <v>535</v>
      </c>
      <c r="Y34" s="4637" t="s">
        <v>1898</v>
      </c>
      <c r="Z34" s="4638" t="s">
        <v>1904</v>
      </c>
      <c r="AA34" s="4638" t="s">
        <v>1903</v>
      </c>
      <c r="AB34" s="43"/>
    </row>
    <row r="35" spans="23:28" ht="28.8">
      <c r="W35" s="43"/>
      <c r="X35" s="4639">
        <v>2021</v>
      </c>
      <c r="Y35" s="4640">
        <f>Z8*60+L7*100</f>
        <v>2936900</v>
      </c>
      <c r="Z35" s="4641">
        <f>Z8+L6+K6</f>
        <v>45053</v>
      </c>
      <c r="AA35" s="4649" t="s">
        <v>1907</v>
      </c>
      <c r="AB35" s="43"/>
    </row>
    <row r="36" spans="23:28" ht="29.4" thickBot="1">
      <c r="W36" s="43"/>
      <c r="X36" s="4642">
        <v>2022</v>
      </c>
      <c r="Y36" s="4643">
        <f>AA8*60+N7*100</f>
        <v>6145060</v>
      </c>
      <c r="Z36" s="4644">
        <f>AA8+M6+N6</f>
        <v>90841</v>
      </c>
      <c r="AA36" s="4649" t="s">
        <v>1907</v>
      </c>
      <c r="AB36" s="43"/>
    </row>
    <row r="37" spans="23:28" ht="15" thickBot="1">
      <c r="W37" s="43"/>
      <c r="X37" s="4651"/>
      <c r="Y37" s="4652"/>
      <c r="Z37" s="4652"/>
      <c r="AA37" s="4653"/>
      <c r="AB37" s="43"/>
    </row>
    <row r="38" spans="23:28" ht="15" thickBot="1">
      <c r="W38" s="43"/>
      <c r="X38" s="4651"/>
      <c r="Y38" s="5584" t="s">
        <v>1900</v>
      </c>
      <c r="Z38" s="5585"/>
      <c r="AA38" s="4645">
        <f>Z36/Z35-1</f>
        <v>1.0163141189265974</v>
      </c>
      <c r="AB38" s="43"/>
    </row>
    <row r="39" spans="23:28" ht="15" thickBot="1">
      <c r="W39" s="43"/>
      <c r="X39" s="4651"/>
      <c r="Y39" s="4652"/>
      <c r="Z39" s="4652"/>
      <c r="AA39" s="4646" t="s">
        <v>1901</v>
      </c>
      <c r="AB39" s="43"/>
    </row>
    <row r="40" spans="23:28">
      <c r="W40" s="43"/>
      <c r="X40" s="4651"/>
      <c r="Y40" s="4652"/>
      <c r="Z40" s="4652"/>
      <c r="AA40" s="4653"/>
      <c r="AB40" s="43"/>
    </row>
    <row r="41" spans="23:28">
      <c r="W41" s="43"/>
      <c r="X41" s="5586" t="s">
        <v>1902</v>
      </c>
      <c r="Y41" s="5587"/>
      <c r="Z41" s="5587"/>
      <c r="AA41" s="5588"/>
      <c r="AB41" s="43"/>
    </row>
    <row r="42" spans="23:28">
      <c r="W42" s="43"/>
      <c r="X42" s="5586"/>
      <c r="Y42" s="5587"/>
      <c r="Z42" s="5587"/>
      <c r="AA42" s="5588"/>
      <c r="AB42" s="43"/>
    </row>
    <row r="43" spans="23:28" ht="15" thickBot="1">
      <c r="W43" s="43"/>
      <c r="X43" s="5589"/>
      <c r="Y43" s="5590"/>
      <c r="Z43" s="5590"/>
      <c r="AA43" s="5591"/>
      <c r="AB43" s="43"/>
    </row>
    <row r="44" spans="23:28">
      <c r="W44" s="43"/>
      <c r="X44" s="43"/>
      <c r="Y44" s="43"/>
      <c r="Z44" s="43"/>
      <c r="AA44" s="43"/>
      <c r="AB44" s="43"/>
    </row>
    <row r="46" spans="23:28" ht="15" thickBot="1"/>
    <row r="47" spans="23:28" ht="40.799999999999997">
      <c r="X47" s="4636" t="s">
        <v>535</v>
      </c>
      <c r="Y47" s="4637" t="s">
        <v>1898</v>
      </c>
      <c r="Z47" s="4638" t="s">
        <v>1906</v>
      </c>
      <c r="AA47" s="4638" t="s">
        <v>1903</v>
      </c>
    </row>
    <row r="48" spans="23:28">
      <c r="X48" s="4639">
        <v>2021</v>
      </c>
      <c r="Y48" s="4640">
        <f>Z48*60</f>
        <v>2352600</v>
      </c>
      <c r="Z48" s="4641">
        <f>Z8</f>
        <v>39210</v>
      </c>
      <c r="AA48" s="4649" t="s">
        <v>1908</v>
      </c>
    </row>
    <row r="49" spans="20:29" ht="15" thickBot="1">
      <c r="X49" s="4642">
        <v>2022</v>
      </c>
      <c r="Y49" s="4643">
        <f>Z49*60</f>
        <v>4408560</v>
      </c>
      <c r="Z49" s="4644">
        <f>AA8+M19+N19</f>
        <v>73476</v>
      </c>
      <c r="AA49" s="4649" t="s">
        <v>1908</v>
      </c>
    </row>
    <row r="50" spans="20:29" ht="15" thickBot="1">
      <c r="X50" s="4651"/>
      <c r="Y50" s="4652"/>
      <c r="Z50" s="4652"/>
      <c r="AA50" s="4653"/>
    </row>
    <row r="51" spans="20:29" ht="15" thickBot="1">
      <c r="X51" s="4651"/>
      <c r="Y51" s="5584" t="s">
        <v>1900</v>
      </c>
      <c r="Z51" s="5585"/>
      <c r="AA51" s="4645">
        <f>Z49/Z48-1</f>
        <v>0.87390971690895181</v>
      </c>
    </row>
    <row r="52" spans="20:29" ht="15" thickBot="1">
      <c r="X52" s="4651"/>
      <c r="Y52" s="4652"/>
      <c r="Z52" s="4652"/>
      <c r="AA52" s="4646" t="s">
        <v>1901</v>
      </c>
    </row>
    <row r="53" spans="20:29">
      <c r="X53" s="4651"/>
      <c r="Y53" s="4652"/>
      <c r="Z53" s="4652"/>
      <c r="AA53" s="4653"/>
    </row>
    <row r="54" spans="20:29">
      <c r="X54" s="5586" t="s">
        <v>1902</v>
      </c>
      <c r="Y54" s="5587"/>
      <c r="Z54" s="5587"/>
      <c r="AA54" s="5588"/>
    </row>
    <row r="55" spans="20:29">
      <c r="X55" s="5586"/>
      <c r="Y55" s="5587"/>
      <c r="Z55" s="5587"/>
      <c r="AA55" s="5588"/>
    </row>
    <row r="56" spans="20:29" ht="15" thickBot="1">
      <c r="X56" s="5589"/>
      <c r="Y56" s="5590"/>
      <c r="Z56" s="5590"/>
      <c r="AA56" s="5591"/>
    </row>
    <row r="57" spans="20:29">
      <c r="T57" s="4500"/>
      <c r="U57" s="4500"/>
      <c r="V57" s="4500"/>
      <c r="W57" s="4500"/>
      <c r="X57" s="4647"/>
      <c r="Y57" s="4647"/>
      <c r="Z57" s="4647"/>
      <c r="AA57" s="4647"/>
      <c r="AB57" s="4500"/>
      <c r="AC57" s="4500"/>
    </row>
    <row r="58" spans="20:29">
      <c r="T58" s="4500"/>
      <c r="U58" s="4500"/>
      <c r="V58" s="4500"/>
      <c r="W58" s="4500"/>
      <c r="X58" s="4500"/>
      <c r="Y58" s="4500"/>
      <c r="Z58" s="4500"/>
      <c r="AA58" s="4500"/>
      <c r="AB58" s="4500"/>
      <c r="AC58" s="4500"/>
    </row>
    <row r="59" spans="20:29" ht="15" thickBot="1">
      <c r="T59" s="4500"/>
      <c r="U59" s="4500"/>
      <c r="V59" s="4500"/>
      <c r="W59" s="4500"/>
      <c r="X59" s="4500"/>
      <c r="Y59" s="4500"/>
      <c r="Z59" s="4500"/>
      <c r="AA59" s="4500"/>
      <c r="AB59" s="4500"/>
      <c r="AC59" s="4500"/>
    </row>
    <row r="60" spans="20:29" ht="40.799999999999997">
      <c r="T60" s="4500"/>
      <c r="U60" s="4500"/>
      <c r="V60" s="4500"/>
      <c r="W60" s="4500"/>
      <c r="X60" s="4636" t="s">
        <v>535</v>
      </c>
      <c r="Y60" s="4637" t="s">
        <v>1898</v>
      </c>
      <c r="Z60" s="4638" t="s">
        <v>1911</v>
      </c>
      <c r="AA60" s="4638" t="s">
        <v>1903</v>
      </c>
      <c r="AB60" s="4500"/>
      <c r="AC60" s="4500"/>
    </row>
    <row r="61" spans="20:29">
      <c r="T61" s="4500"/>
      <c r="U61" s="4500"/>
      <c r="V61" s="4500"/>
      <c r="W61" s="4500"/>
      <c r="X61" s="4639">
        <v>2021</v>
      </c>
      <c r="Y61" s="4640">
        <f>Z61*100</f>
        <v>584300</v>
      </c>
      <c r="Z61" s="4641">
        <f>L7</f>
        <v>5843</v>
      </c>
      <c r="AA61" s="4649" t="s">
        <v>1910</v>
      </c>
      <c r="AB61" s="4500"/>
      <c r="AC61" s="4500"/>
    </row>
    <row r="62" spans="20:29" ht="15" thickBot="1">
      <c r="T62" s="4500"/>
      <c r="U62" s="4500"/>
      <c r="V62" s="4500"/>
      <c r="W62" s="4500"/>
      <c r="X62" s="4642">
        <v>2022</v>
      </c>
      <c r="Y62" s="4643">
        <f>Z62*100</f>
        <v>1736500</v>
      </c>
      <c r="Z62" s="4644">
        <f>N7</f>
        <v>17365</v>
      </c>
      <c r="AA62" s="4650" t="s">
        <v>1910</v>
      </c>
      <c r="AB62" s="4500"/>
      <c r="AC62" s="4500"/>
    </row>
    <row r="63" spans="20:29" ht="15" thickBot="1">
      <c r="T63" s="4500"/>
      <c r="U63" s="4500"/>
      <c r="V63" s="4500"/>
      <c r="W63" s="4500"/>
      <c r="X63" s="4651"/>
      <c r="Y63" s="4652"/>
      <c r="Z63" s="4652"/>
      <c r="AA63" s="4653"/>
      <c r="AB63" s="4500"/>
      <c r="AC63" s="4500"/>
    </row>
    <row r="64" spans="20:29" ht="15" thickBot="1">
      <c r="T64" s="4500"/>
      <c r="U64" s="4500"/>
      <c r="V64" s="4500"/>
      <c r="W64" s="4500"/>
      <c r="X64" s="4651"/>
      <c r="Y64" s="5584" t="s">
        <v>1900</v>
      </c>
      <c r="Z64" s="5585"/>
      <c r="AA64" s="4645">
        <f>Z62/Z61-1</f>
        <v>1.9719322265959267</v>
      </c>
      <c r="AB64" s="4500"/>
      <c r="AC64" s="4500"/>
    </row>
    <row r="65" spans="20:29" ht="15" thickBot="1">
      <c r="T65" s="4500"/>
      <c r="U65" s="4500"/>
      <c r="V65" s="4500"/>
      <c r="W65" s="4500"/>
      <c r="X65" s="4651"/>
      <c r="Y65" s="4652"/>
      <c r="Z65" s="4652"/>
      <c r="AA65" s="4646" t="s">
        <v>1901</v>
      </c>
      <c r="AB65" s="4500"/>
      <c r="AC65" s="4500"/>
    </row>
    <row r="66" spans="20:29">
      <c r="T66" s="4500"/>
      <c r="U66" s="4500"/>
      <c r="V66" s="4500"/>
      <c r="W66" s="4500"/>
      <c r="X66" s="4651"/>
      <c r="Y66" s="4652"/>
      <c r="Z66" s="4652"/>
      <c r="AA66" s="4653"/>
      <c r="AB66" s="4500"/>
      <c r="AC66" s="4500"/>
    </row>
    <row r="67" spans="20:29">
      <c r="T67" s="4500"/>
      <c r="U67" s="4500"/>
      <c r="V67" s="4500"/>
      <c r="W67" s="4500"/>
      <c r="X67" s="5586" t="s">
        <v>1902</v>
      </c>
      <c r="Y67" s="5587"/>
      <c r="Z67" s="5587"/>
      <c r="AA67" s="5588"/>
      <c r="AB67" s="4500"/>
      <c r="AC67" s="4500"/>
    </row>
    <row r="68" spans="20:29">
      <c r="T68" s="4500"/>
      <c r="U68" s="4500"/>
      <c r="V68" s="4500"/>
      <c r="W68" s="4500"/>
      <c r="X68" s="5586"/>
      <c r="Y68" s="5587"/>
      <c r="Z68" s="5587"/>
      <c r="AA68" s="5588"/>
      <c r="AB68" s="4500"/>
      <c r="AC68" s="4500"/>
    </row>
    <row r="69" spans="20:29" ht="15" thickBot="1">
      <c r="T69" s="4500"/>
      <c r="U69" s="4500"/>
      <c r="V69" s="4500"/>
      <c r="W69" s="4500"/>
      <c r="X69" s="5589"/>
      <c r="Y69" s="5590"/>
      <c r="Z69" s="5590"/>
      <c r="AA69" s="5591"/>
      <c r="AB69" s="4500"/>
      <c r="AC69" s="4500"/>
    </row>
    <row r="70" spans="20:29">
      <c r="T70" s="4500"/>
      <c r="U70" s="4500"/>
      <c r="V70" s="4500"/>
      <c r="W70" s="4500"/>
      <c r="AB70" s="4500"/>
      <c r="AC70" s="4500"/>
    </row>
  </sheetData>
  <mergeCells count="21">
    <mergeCell ref="Y64:Z64"/>
    <mergeCell ref="X67:AA69"/>
    <mergeCell ref="K3:L3"/>
    <mergeCell ref="M3:N3"/>
    <mergeCell ref="K4:L4"/>
    <mergeCell ref="M4:N4"/>
    <mergeCell ref="K9:L9"/>
    <mergeCell ref="M9:N9"/>
    <mergeCell ref="K13:L13"/>
    <mergeCell ref="M13:N13"/>
    <mergeCell ref="K10:L10"/>
    <mergeCell ref="M10:N10"/>
    <mergeCell ref="K11:L11"/>
    <mergeCell ref="M11:N11"/>
    <mergeCell ref="Y51:Z51"/>
    <mergeCell ref="X54:AA56"/>
    <mergeCell ref="Y38:Z38"/>
    <mergeCell ref="X41:AA43"/>
    <mergeCell ref="T11:X11"/>
    <mergeCell ref="Y23:Z23"/>
    <mergeCell ref="X26:AA28"/>
  </mergeCells>
  <pageMargins left="0.70866141732283472" right="0.70866141732283472" top="0.74803149606299213" bottom="0.74803149606299213" header="0.31496062992125984" footer="0.31496062992125984"/>
  <pageSetup paperSize="9" scale="33"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E31D-2815-43A9-8A47-2C0C8D2A2137}">
  <sheetPr>
    <tabColor rgb="FF7030A0"/>
    <pageSetUpPr fitToPage="1"/>
  </sheetPr>
  <dimension ref="B1:AB27"/>
  <sheetViews>
    <sheetView topLeftCell="N13" workbookViewId="0">
      <selection activeCell="AA19" sqref="AA19"/>
    </sheetView>
  </sheetViews>
  <sheetFormatPr baseColWidth="10" defaultRowHeight="14.4"/>
  <cols>
    <col min="2" max="2" width="18.44140625" customWidth="1"/>
    <col min="3" max="6" width="11.5546875" customWidth="1"/>
    <col min="7" max="7" width="11" customWidth="1"/>
    <col min="8" max="8" width="21.109375" customWidth="1"/>
    <col min="9" max="9" width="10.6640625" customWidth="1"/>
    <col min="10" max="15" width="9.77734375" customWidth="1"/>
    <col min="16" max="16" width="14.21875" customWidth="1"/>
    <col min="17" max="17" width="18.5546875" customWidth="1"/>
    <col min="18" max="18" width="3.33203125" customWidth="1"/>
    <col min="19" max="22" width="12.88671875" customWidth="1"/>
    <col min="23" max="23" width="21.88671875" customWidth="1"/>
    <col min="24" max="24" width="12.33203125" bestFit="1" customWidth="1"/>
    <col min="25" max="26" width="11.44140625" customWidth="1"/>
    <col min="27" max="27" width="12.109375" bestFit="1" customWidth="1"/>
    <col min="28" max="28" width="11.44140625" customWidth="1"/>
  </cols>
  <sheetData>
    <row r="1" spans="2:28" s="45" customFormat="1">
      <c r="B1" s="4130" t="s">
        <v>1921</v>
      </c>
      <c r="C1" s="4132"/>
      <c r="D1" s="4132"/>
      <c r="E1" s="4132"/>
      <c r="F1" s="4132"/>
      <c r="G1" s="4132"/>
      <c r="H1" s="4132"/>
      <c r="I1" s="4132"/>
      <c r="J1" s="4132"/>
      <c r="K1" s="4132"/>
      <c r="L1" s="4132"/>
      <c r="M1" s="4132"/>
      <c r="N1" s="4132"/>
      <c r="O1" s="4133"/>
      <c r="Q1" s="4134" t="s">
        <v>1712</v>
      </c>
      <c r="R1" s="4136"/>
      <c r="S1" s="4136"/>
      <c r="T1" s="4136"/>
      <c r="U1" s="4136"/>
      <c r="V1" s="4132"/>
      <c r="W1" s="4132"/>
      <c r="X1" s="4132"/>
      <c r="Y1" s="4132"/>
      <c r="Z1" s="4132"/>
      <c r="AA1" s="4132"/>
      <c r="AB1" s="4133"/>
    </row>
    <row r="2" spans="2:28">
      <c r="B2" s="44"/>
      <c r="O2" s="4168"/>
      <c r="Q2" s="44"/>
      <c r="AB2" s="4168"/>
    </row>
    <row r="3" spans="2:28" s="2820" customFormat="1" ht="16.2">
      <c r="B3" s="4230"/>
      <c r="C3" s="4216">
        <v>2014</v>
      </c>
      <c r="D3" s="4216">
        <v>2015</v>
      </c>
      <c r="E3" s="4216">
        <v>2016</v>
      </c>
      <c r="F3" s="4216" t="s">
        <v>1713</v>
      </c>
      <c r="G3" s="4216">
        <v>2018</v>
      </c>
      <c r="H3" s="4216">
        <v>2019</v>
      </c>
      <c r="I3" s="4216">
        <v>2020</v>
      </c>
      <c r="J3" s="5609">
        <v>2021</v>
      </c>
      <c r="K3" s="5609"/>
      <c r="L3" s="5610">
        <v>2022</v>
      </c>
      <c r="M3" s="5610"/>
      <c r="N3" s="4216"/>
      <c r="O3" s="4231"/>
      <c r="Q3" s="312"/>
      <c r="S3" s="4216">
        <v>2015</v>
      </c>
      <c r="T3" s="4216">
        <v>2016</v>
      </c>
      <c r="U3" s="4216">
        <v>2017</v>
      </c>
      <c r="V3" s="4216">
        <v>2018</v>
      </c>
      <c r="W3" s="4216">
        <v>2019</v>
      </c>
      <c r="X3" s="4216">
        <v>2020</v>
      </c>
      <c r="Y3" s="4212">
        <v>2021</v>
      </c>
      <c r="Z3" s="4220">
        <v>2022</v>
      </c>
      <c r="AA3" s="4216"/>
      <c r="AB3" s="4231"/>
    </row>
    <row r="4" spans="2:28" s="4235" customFormat="1" ht="10.199999999999999">
      <c r="B4" s="4232"/>
      <c r="C4" s="4233"/>
      <c r="D4" s="4233"/>
      <c r="E4" s="4233"/>
      <c r="F4" s="4233"/>
      <c r="G4" s="4233" t="s">
        <v>1714</v>
      </c>
      <c r="H4" s="4233" t="s">
        <v>1715</v>
      </c>
      <c r="I4" s="4233" t="s">
        <v>1716</v>
      </c>
      <c r="J4" s="5611" t="s">
        <v>1717</v>
      </c>
      <c r="K4" s="5611"/>
      <c r="L4" s="5612" t="s">
        <v>1922</v>
      </c>
      <c r="M4" s="5612"/>
      <c r="N4" s="4233"/>
      <c r="O4" s="4234"/>
      <c r="Q4" s="4236"/>
      <c r="S4" s="4233" t="s">
        <v>1718</v>
      </c>
      <c r="T4" s="4233" t="s">
        <v>1719</v>
      </c>
      <c r="U4" s="4233" t="s">
        <v>1720</v>
      </c>
      <c r="V4" s="4233" t="s">
        <v>1721</v>
      </c>
      <c r="W4" s="4233" t="s">
        <v>1722</v>
      </c>
      <c r="X4" s="4233" t="s">
        <v>1716</v>
      </c>
      <c r="Y4" s="4237" t="s">
        <v>1717</v>
      </c>
      <c r="Z4" s="4238" t="s">
        <v>1922</v>
      </c>
      <c r="AA4" s="4233"/>
      <c r="AB4" s="4234"/>
    </row>
    <row r="5" spans="2:28" s="4235" customFormat="1" ht="10.199999999999999">
      <c r="B5" s="4232"/>
      <c r="C5" s="4233"/>
      <c r="D5" s="4233"/>
      <c r="E5" s="4233"/>
      <c r="F5" s="4233"/>
      <c r="G5" s="4233"/>
      <c r="H5" s="4233"/>
      <c r="I5" s="4233"/>
      <c r="J5" s="4239" t="s">
        <v>1723</v>
      </c>
      <c r="K5" s="4239" t="s">
        <v>1724</v>
      </c>
      <c r="L5" s="4240" t="s">
        <v>1723</v>
      </c>
      <c r="M5" s="4240" t="s">
        <v>1724</v>
      </c>
      <c r="N5" s="4233"/>
      <c r="O5" s="4234"/>
      <c r="Q5" s="4236"/>
      <c r="S5" s="4233"/>
      <c r="T5" s="4233"/>
      <c r="U5" s="4233"/>
      <c r="V5" s="4233"/>
      <c r="W5" s="4233"/>
      <c r="X5" s="4233"/>
      <c r="Y5" s="4237"/>
      <c r="Z5" s="4240"/>
      <c r="AA5" s="4233"/>
      <c r="AB5" s="4234"/>
    </row>
    <row r="6" spans="2:28" ht="30" customHeight="1">
      <c r="B6" s="4241" t="s">
        <v>1725</v>
      </c>
      <c r="C6" s="4242">
        <v>5125</v>
      </c>
      <c r="D6" s="4242">
        <v>5927</v>
      </c>
      <c r="E6" s="4242">
        <v>5260</v>
      </c>
      <c r="F6" s="4242">
        <v>5100</v>
      </c>
      <c r="G6" s="4242">
        <v>4967</v>
      </c>
      <c r="H6" s="4242">
        <v>5622</v>
      </c>
      <c r="I6" s="4242">
        <v>0</v>
      </c>
      <c r="J6" s="4243">
        <f>-431+431+728+395+394</f>
        <v>1517</v>
      </c>
      <c r="K6" s="4243">
        <f>-423+423+628+511+653</f>
        <v>1792</v>
      </c>
      <c r="L6" s="4244"/>
      <c r="M6" s="4244"/>
      <c r="N6" s="4242"/>
      <c r="O6" s="4245"/>
      <c r="Q6" s="4152" t="s">
        <v>1701</v>
      </c>
      <c r="R6" s="4153"/>
      <c r="S6" s="4160">
        <f>20300+17400+16100</f>
        <v>53800</v>
      </c>
      <c r="T6" s="4160">
        <f>21100+18300+17600</f>
        <v>57000</v>
      </c>
      <c r="U6" s="4160">
        <f>22500+19000+18900</f>
        <v>60400</v>
      </c>
      <c r="V6" s="4161">
        <f>22400+20400+19800</f>
        <v>62600</v>
      </c>
      <c r="W6" s="4161">
        <f>19504+16224+16400</f>
        <v>52128</v>
      </c>
      <c r="X6" s="4161">
        <v>0</v>
      </c>
      <c r="Y6" s="4162">
        <f>-3516+3516+3036+2778+2988</f>
        <v>8802</v>
      </c>
      <c r="Z6" s="4163"/>
      <c r="AA6" s="4161"/>
      <c r="AB6" s="4165"/>
    </row>
    <row r="7" spans="2:28" s="21" customFormat="1">
      <c r="B7" s="4246"/>
      <c r="I7" s="4201"/>
      <c r="J7" s="5613">
        <f>SUM(J6:K6)</f>
        <v>3309</v>
      </c>
      <c r="K7" s="5613"/>
      <c r="L7" s="5602">
        <f>SUM(L6:M6)</f>
        <v>0</v>
      </c>
      <c r="M7" s="5602"/>
      <c r="N7" s="4201"/>
      <c r="O7" s="4203"/>
      <c r="Q7" s="4241" t="s">
        <v>1702</v>
      </c>
      <c r="R7" s="4247"/>
      <c r="S7" s="4248">
        <f>9920+8300+7900</f>
        <v>26120</v>
      </c>
      <c r="T7" s="4248">
        <f>10180+8440+8520</f>
        <v>27140</v>
      </c>
      <c r="U7" s="4248">
        <f>11240+8980+9180</f>
        <v>29400</v>
      </c>
      <c r="V7" s="4249">
        <f>11160+9960+9460</f>
        <v>30580</v>
      </c>
      <c r="W7" s="4249">
        <f>11860+9720+9620</f>
        <v>31200</v>
      </c>
      <c r="X7" s="4249">
        <v>0</v>
      </c>
      <c r="Y7" s="4250">
        <f>-1770+1770+1530+1440+1590</f>
        <v>4560</v>
      </c>
      <c r="Z7" s="4251"/>
      <c r="AA7" s="4249"/>
      <c r="AB7" s="4252"/>
    </row>
    <row r="8" spans="2:28" ht="20.399999999999999">
      <c r="B8" s="44"/>
      <c r="F8" s="5614" t="s">
        <v>1726</v>
      </c>
      <c r="G8" s="5614"/>
      <c r="H8" s="4201" t="s">
        <v>1727</v>
      </c>
      <c r="J8" s="4253"/>
      <c r="K8" s="4253"/>
      <c r="L8" s="4167"/>
      <c r="M8" s="4167"/>
      <c r="O8" s="4168"/>
      <c r="Q8" s="4169" t="s">
        <v>32</v>
      </c>
      <c r="R8" s="4254"/>
      <c r="S8" s="4170">
        <f t="shared" ref="S8:Z8" si="0">S6+S7</f>
        <v>79920</v>
      </c>
      <c r="T8" s="4170">
        <f t="shared" si="0"/>
        <v>84140</v>
      </c>
      <c r="U8" s="4170">
        <f t="shared" si="0"/>
        <v>89800</v>
      </c>
      <c r="V8" s="4170">
        <f t="shared" si="0"/>
        <v>93180</v>
      </c>
      <c r="W8" s="4170">
        <f t="shared" si="0"/>
        <v>83328</v>
      </c>
      <c r="X8" s="4170">
        <f t="shared" si="0"/>
        <v>0</v>
      </c>
      <c r="Y8" s="4170">
        <f t="shared" si="0"/>
        <v>13362</v>
      </c>
      <c r="Z8" s="4172">
        <f t="shared" si="0"/>
        <v>0</v>
      </c>
      <c r="AA8" s="4170"/>
      <c r="AB8" s="4174"/>
    </row>
    <row r="9" spans="2:28">
      <c r="B9" s="44"/>
      <c r="D9" s="4178">
        <f>D6/C6-1</f>
        <v>0.1564878048780487</v>
      </c>
      <c r="E9" s="4178">
        <f>E6/D6-1</f>
        <v>-0.11253585287666612</v>
      </c>
      <c r="F9" s="4178">
        <f>F6/E6-1</f>
        <v>-3.041825095057038E-2</v>
      </c>
      <c r="G9" s="4178">
        <f>G6/F6-1</f>
        <v>-2.607843137254906E-2</v>
      </c>
      <c r="H9" s="4178">
        <f>H6/G6-1</f>
        <v>0.13187034427219646</v>
      </c>
      <c r="I9" s="4178"/>
      <c r="J9" s="5621">
        <f>J7/H6-1</f>
        <v>-0.41141942369263607</v>
      </c>
      <c r="K9" s="5621"/>
      <c r="L9" s="4167"/>
      <c r="M9" s="4255"/>
      <c r="N9" s="4178"/>
      <c r="O9" s="300"/>
      <c r="Q9" s="4169"/>
      <c r="R9" s="4254"/>
      <c r="S9" s="4170"/>
      <c r="T9" s="4256">
        <f>T8/S8-1</f>
        <v>5.2802802802802695E-2</v>
      </c>
      <c r="U9" s="4256">
        <f>U8/T8-1</f>
        <v>6.7268837651533131E-2</v>
      </c>
      <c r="V9" s="4256">
        <f>V8/U8-1</f>
        <v>3.7639198218262893E-2</v>
      </c>
      <c r="W9" s="4256">
        <f>W8/V8-1</f>
        <v>-0.10573084352865425</v>
      </c>
      <c r="X9" s="4256">
        <f>X8/W8-1</f>
        <v>-1</v>
      </c>
      <c r="Y9" s="4256">
        <f>Y8/W8-1</f>
        <v>-0.83964573732718895</v>
      </c>
      <c r="Z9" s="4257"/>
      <c r="AA9" s="4256"/>
      <c r="AB9" s="4258"/>
    </row>
    <row r="10" spans="2:28" ht="42">
      <c r="B10" s="44"/>
      <c r="C10" s="4157"/>
      <c r="D10" s="4157"/>
      <c r="E10" s="4157"/>
      <c r="J10" s="5615" t="s">
        <v>1728</v>
      </c>
      <c r="K10" s="5615"/>
      <c r="L10" s="4167"/>
      <c r="M10" s="4167"/>
      <c r="O10" s="4168"/>
      <c r="Q10" s="44"/>
      <c r="S10" s="5616" t="s">
        <v>1729</v>
      </c>
      <c r="T10" s="5616"/>
      <c r="U10" s="5616"/>
      <c r="V10" s="5616"/>
      <c r="W10" s="4259" t="s">
        <v>1730</v>
      </c>
      <c r="X10" s="4259"/>
      <c r="Y10" s="4260" t="s">
        <v>1920</v>
      </c>
      <c r="Z10" s="4261"/>
      <c r="AA10" s="4259"/>
      <c r="AB10" s="4262"/>
    </row>
    <row r="11" spans="2:28">
      <c r="B11" s="44"/>
      <c r="C11" s="4157"/>
      <c r="D11" s="4157"/>
      <c r="E11" s="4157"/>
      <c r="J11" s="4253"/>
      <c r="K11" s="4253"/>
      <c r="L11" s="4167"/>
      <c r="M11" s="4167"/>
      <c r="O11" s="4168"/>
      <c r="Q11" s="44"/>
      <c r="S11" s="4263"/>
      <c r="T11" s="4263"/>
      <c r="U11" s="4263"/>
      <c r="V11" s="4263"/>
      <c r="W11" s="4259"/>
      <c r="X11" s="4259"/>
      <c r="Y11" s="4260"/>
      <c r="Z11" s="4261"/>
      <c r="AA11" s="4259"/>
      <c r="AB11" s="4262"/>
    </row>
    <row r="12" spans="2:28">
      <c r="B12" s="44"/>
      <c r="C12" s="4157"/>
      <c r="D12" s="4157"/>
      <c r="E12" s="4157"/>
      <c r="J12" s="4253"/>
      <c r="K12" s="4253"/>
      <c r="L12" s="4167"/>
      <c r="M12" s="4167"/>
      <c r="O12" s="4168"/>
      <c r="Q12" s="4264" t="s">
        <v>1731</v>
      </c>
      <c r="S12" s="4263"/>
      <c r="T12" s="4263"/>
      <c r="U12" s="4263"/>
      <c r="V12" s="4263"/>
      <c r="W12" s="4249">
        <f>24372</f>
        <v>24372</v>
      </c>
      <c r="X12" s="4259"/>
      <c r="Y12" s="4259"/>
      <c r="Z12" s="4259"/>
      <c r="AA12" s="4259"/>
      <c r="AB12" s="4262"/>
    </row>
    <row r="13" spans="2:28">
      <c r="B13" s="4176"/>
      <c r="C13" s="4157"/>
      <c r="D13" s="4157"/>
      <c r="E13" s="4157"/>
      <c r="F13" s="4157"/>
      <c r="J13" s="4253"/>
      <c r="K13" s="4253"/>
      <c r="L13" s="4167"/>
      <c r="M13" s="4167"/>
      <c r="O13" s="4168"/>
      <c r="Q13" s="44"/>
      <c r="AB13" s="4168"/>
    </row>
    <row r="14" spans="2:28" ht="28.8">
      <c r="B14" s="4265" t="s">
        <v>1732</v>
      </c>
      <c r="C14" s="4213">
        <v>1708</v>
      </c>
      <c r="D14" s="4213">
        <v>1976</v>
      </c>
      <c r="E14" s="4213">
        <v>1753</v>
      </c>
      <c r="F14" s="4213">
        <v>1700</v>
      </c>
      <c r="G14" s="4213">
        <f>G6/3</f>
        <v>1655.6666666666667</v>
      </c>
      <c r="H14" s="4213">
        <f>H6/3</f>
        <v>1874</v>
      </c>
      <c r="I14" s="4213"/>
      <c r="J14" s="4266">
        <f>J6/3</f>
        <v>505.66666666666669</v>
      </c>
      <c r="K14" s="4266">
        <f>K6/3</f>
        <v>597.33333333333337</v>
      </c>
      <c r="L14" s="4214">
        <f>L6/3</f>
        <v>0</v>
      </c>
      <c r="M14" s="4214">
        <f>M6/3</f>
        <v>0</v>
      </c>
      <c r="N14" s="4213"/>
      <c r="O14" s="4215"/>
      <c r="Q14" s="4265" t="s">
        <v>1732</v>
      </c>
      <c r="R14" s="4209">
        <v>3</v>
      </c>
      <c r="S14" s="4213">
        <f>(S6+S7)/$R$14</f>
        <v>26640</v>
      </c>
      <c r="T14" s="4213">
        <f>(T6+T7)/$R$14</f>
        <v>28046.666666666668</v>
      </c>
      <c r="U14" s="4213">
        <f>(U6+U7)/$R$14</f>
        <v>29933.333333333332</v>
      </c>
      <c r="V14" s="4213">
        <f>(V6+V7)/$R$14</f>
        <v>31060</v>
      </c>
      <c r="W14" s="4213">
        <f>(W6+W7)/$R$14</f>
        <v>27776</v>
      </c>
      <c r="X14" s="4213"/>
      <c r="Y14" s="4213">
        <f>(Y6+Y7)/$R$14</f>
        <v>4454</v>
      </c>
      <c r="Z14" s="4214">
        <f>(Z6+Z7)/$R$14</f>
        <v>0</v>
      </c>
      <c r="AA14" s="4213"/>
      <c r="AB14" s="4215"/>
    </row>
    <row r="15" spans="2:28">
      <c r="B15" s="4265"/>
      <c r="C15" s="4213"/>
      <c r="D15" s="4213"/>
      <c r="E15" s="4213"/>
      <c r="F15" s="4213"/>
      <c r="G15" s="4213"/>
      <c r="H15" s="4213"/>
      <c r="I15" s="4213"/>
      <c r="J15" s="5617">
        <f>SUM(J14:K14)</f>
        <v>1103</v>
      </c>
      <c r="K15" s="5618"/>
      <c r="L15" s="5619">
        <f>SUM(L14:M14)</f>
        <v>0</v>
      </c>
      <c r="M15" s="5620"/>
      <c r="N15" s="4213"/>
      <c r="O15" s="4215"/>
      <c r="Q15" s="4208"/>
      <c r="R15" s="4209"/>
      <c r="S15" s="4213"/>
      <c r="T15" s="4213"/>
      <c r="U15" s="4213"/>
      <c r="V15" s="4213"/>
      <c r="W15" s="4213"/>
      <c r="X15" s="4213"/>
      <c r="Y15" s="4213"/>
      <c r="Z15" s="4214"/>
      <c r="AA15" s="4213"/>
      <c r="AB15" s="4215"/>
    </row>
    <row r="16" spans="2:28" ht="15" thickBot="1">
      <c r="B16" s="4225"/>
      <c r="C16" s="4226"/>
      <c r="D16" s="4226"/>
      <c r="E16" s="4226"/>
      <c r="F16" s="4226"/>
      <c r="G16" s="4226"/>
      <c r="H16" s="4226"/>
      <c r="I16" s="4226"/>
      <c r="J16" s="4226"/>
      <c r="K16" s="4226"/>
      <c r="L16" s="4226"/>
      <c r="M16" s="4226"/>
      <c r="N16" s="4226"/>
      <c r="O16" s="4227"/>
      <c r="Q16" s="4225"/>
      <c r="R16" s="4267"/>
      <c r="S16" s="4226"/>
      <c r="T16" s="4226"/>
      <c r="U16" s="4226"/>
      <c r="V16" s="4226"/>
      <c r="W16" s="4226"/>
      <c r="X16" s="4226"/>
      <c r="Y16" s="4226"/>
      <c r="Z16" s="4226"/>
      <c r="AA16" s="4226"/>
      <c r="AB16" s="4227"/>
    </row>
    <row r="17" spans="23:26" ht="15" thickBot="1"/>
    <row r="18" spans="23:26" ht="79.2">
      <c r="W18" s="4636" t="s">
        <v>535</v>
      </c>
      <c r="X18" s="4637" t="s">
        <v>1898</v>
      </c>
      <c r="Y18" s="4638" t="s">
        <v>1904</v>
      </c>
      <c r="Z18" s="4638" t="s">
        <v>1903</v>
      </c>
    </row>
    <row r="19" spans="23:26" ht="28.8">
      <c r="W19" s="4639">
        <v>2021</v>
      </c>
      <c r="X19" s="4640">
        <f>Y7*100+K6*60</f>
        <v>563520</v>
      </c>
      <c r="Y19" s="4641">
        <f>Y8+K6+J6</f>
        <v>16671</v>
      </c>
      <c r="Z19" s="4649" t="s">
        <v>1923</v>
      </c>
    </row>
    <row r="20" spans="23:26" ht="29.4" thickBot="1">
      <c r="W20" s="4642">
        <v>2022</v>
      </c>
      <c r="X20" s="4725">
        <f>Z7*100+M6*100</f>
        <v>0</v>
      </c>
      <c r="Y20" s="4726">
        <f>Z7+L6+M6</f>
        <v>0</v>
      </c>
      <c r="Z20" s="4727" t="str">
        <f>Z19</f>
        <v>$60 promedio</v>
      </c>
    </row>
    <row r="21" spans="23:26" ht="15" thickBot="1">
      <c r="W21" s="4651"/>
      <c r="X21" s="4652"/>
      <c r="Y21" s="4652"/>
      <c r="Z21" s="4653"/>
    </row>
    <row r="22" spans="23:26" ht="15" thickBot="1">
      <c r="W22" s="4651"/>
      <c r="X22" s="5584" t="s">
        <v>1900</v>
      </c>
      <c r="Y22" s="5585"/>
      <c r="Z22" s="4645">
        <f>Y20/Y19-1</f>
        <v>-1</v>
      </c>
    </row>
    <row r="23" spans="23:26" ht="15" thickBot="1">
      <c r="W23" s="4651"/>
      <c r="X23" s="4652"/>
      <c r="Y23" s="4652"/>
      <c r="Z23" s="4646" t="str">
        <f>IF(Z22&gt;1,"positivo","negativo")</f>
        <v>negativo</v>
      </c>
    </row>
    <row r="24" spans="23:26">
      <c r="W24" s="4651"/>
      <c r="X24" s="4652"/>
      <c r="Y24" s="4652"/>
      <c r="Z24" s="4653"/>
    </row>
    <row r="25" spans="23:26">
      <c r="W25" s="5603" t="s">
        <v>1902</v>
      </c>
      <c r="X25" s="5604"/>
      <c r="Y25" s="5604"/>
      <c r="Z25" s="5605"/>
    </row>
    <row r="26" spans="23:26">
      <c r="W26" s="5603"/>
      <c r="X26" s="5604"/>
      <c r="Y26" s="5604"/>
      <c r="Z26" s="5605"/>
    </row>
    <row r="27" spans="23:26" ht="15" thickBot="1">
      <c r="W27" s="5606"/>
      <c r="X27" s="5607"/>
      <c r="Y27" s="5607"/>
      <c r="Z27" s="5608"/>
    </row>
  </sheetData>
  <mergeCells count="14">
    <mergeCell ref="F8:G8"/>
    <mergeCell ref="J10:K10"/>
    <mergeCell ref="S10:V10"/>
    <mergeCell ref="J15:K15"/>
    <mergeCell ref="L15:M15"/>
    <mergeCell ref="J9:K9"/>
    <mergeCell ref="X22:Y22"/>
    <mergeCell ref="W25:Z27"/>
    <mergeCell ref="L7:M7"/>
    <mergeCell ref="J3:K3"/>
    <mergeCell ref="L3:M3"/>
    <mergeCell ref="J4:K4"/>
    <mergeCell ref="L4:M4"/>
    <mergeCell ref="J7:K7"/>
  </mergeCells>
  <pageMargins left="0.70866141732283472" right="0.70866141732283472" top="0.74803149606299213" bottom="0.74803149606299213" header="0.31496062992125984" footer="0.31496062992125984"/>
  <pageSetup paperSize="9" scale="37" orientation="landscape" verticalDpi="597"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3D82-D0EA-47B3-BA5F-01EB8C198114}">
  <sheetPr>
    <tabColor rgb="FF7030A0"/>
    <pageSetUpPr fitToPage="1"/>
  </sheetPr>
  <dimension ref="B1:AC32"/>
  <sheetViews>
    <sheetView topLeftCell="C7" workbookViewId="0">
      <selection activeCell="AA17" sqref="AA17"/>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2" width="9.6640625" customWidth="1"/>
    <col min="13" max="14" width="9.33203125" customWidth="1"/>
    <col min="15" max="15" width="6.44140625" customWidth="1"/>
    <col min="16" max="16" width="9.6640625" customWidth="1"/>
    <col min="17" max="17" width="5.6640625" customWidth="1"/>
    <col min="18" max="18" width="22.6640625" customWidth="1"/>
    <col min="19" max="19" width="2" bestFit="1" customWidth="1"/>
    <col min="20" max="23" width="14.5546875" hidden="1" customWidth="1"/>
    <col min="24" max="27" width="15.109375" customWidth="1"/>
    <col min="28" max="29" width="14.5546875" customWidth="1"/>
  </cols>
  <sheetData>
    <row r="1" spans="2:29" s="45" customFormat="1">
      <c r="B1" s="4130" t="s">
        <v>1733</v>
      </c>
      <c r="C1" s="4131"/>
      <c r="D1" s="4132"/>
      <c r="E1" s="4132"/>
      <c r="F1" s="4132"/>
      <c r="G1" s="4132"/>
      <c r="H1" s="4132"/>
      <c r="I1" s="4132"/>
      <c r="J1" s="4132"/>
      <c r="K1" s="4132"/>
      <c r="L1" s="4132"/>
      <c r="M1" s="4132"/>
      <c r="N1" s="4132"/>
      <c r="O1" s="4132"/>
      <c r="P1" s="4133"/>
      <c r="R1" s="4134" t="s">
        <v>1734</v>
      </c>
      <c r="S1" s="4136"/>
      <c r="T1" s="4132"/>
      <c r="U1" s="4132"/>
      <c r="V1" s="4132"/>
      <c r="W1" s="4132"/>
      <c r="X1" s="4132"/>
      <c r="Y1" s="4132"/>
      <c r="Z1" s="4132"/>
      <c r="AA1" s="4132"/>
      <c r="AB1" s="4132"/>
      <c r="AC1" s="4133"/>
    </row>
    <row r="2" spans="2:29">
      <c r="B2" s="44"/>
      <c r="P2" s="4168"/>
      <c r="R2" s="44"/>
      <c r="AC2" s="4168"/>
    </row>
    <row r="3" spans="2:29" s="2820" customFormat="1">
      <c r="B3" s="4230"/>
      <c r="C3" s="4268"/>
      <c r="D3" s="4216">
        <v>2014</v>
      </c>
      <c r="E3" s="4216">
        <v>2015</v>
      </c>
      <c r="F3" s="4216">
        <v>2016</v>
      </c>
      <c r="G3" s="4216">
        <v>2017</v>
      </c>
      <c r="H3" s="4216">
        <v>2018</v>
      </c>
      <c r="I3" s="4216" t="s">
        <v>868</v>
      </c>
      <c r="J3" s="4216">
        <v>2020</v>
      </c>
      <c r="K3" s="5623">
        <v>2021</v>
      </c>
      <c r="L3" s="5623"/>
      <c r="M3" s="5610">
        <v>2022</v>
      </c>
      <c r="N3" s="5610"/>
      <c r="O3" s="4216"/>
      <c r="P3" s="4231"/>
      <c r="R3" s="312"/>
      <c r="T3" s="4216">
        <v>2015</v>
      </c>
      <c r="U3" s="4216">
        <v>2016</v>
      </c>
      <c r="V3" s="4216">
        <v>2017</v>
      </c>
      <c r="W3" s="4216">
        <v>2018</v>
      </c>
      <c r="X3" s="4216">
        <v>2019</v>
      </c>
      <c r="Y3" s="4216">
        <v>2020</v>
      </c>
      <c r="Z3" s="4212">
        <v>2021</v>
      </c>
      <c r="AA3" s="4220">
        <v>2022</v>
      </c>
      <c r="AB3" s="4216"/>
      <c r="AC3" s="4231"/>
    </row>
    <row r="4" spans="2:29" s="4235" customFormat="1" ht="10.199999999999999">
      <c r="B4" s="4232"/>
      <c r="C4" s="4269"/>
      <c r="D4" s="4233"/>
      <c r="E4" s="4233"/>
      <c r="F4" s="4233" t="s">
        <v>1735</v>
      </c>
      <c r="G4" s="4233" t="s">
        <v>1736</v>
      </c>
      <c r="H4" s="4233" t="s">
        <v>1736</v>
      </c>
      <c r="I4" s="4233" t="s">
        <v>1737</v>
      </c>
      <c r="J4" s="4233" t="s">
        <v>1738</v>
      </c>
      <c r="K4" s="5624" t="s">
        <v>1739</v>
      </c>
      <c r="L4" s="5624"/>
      <c r="M4" s="5612" t="s">
        <v>1739</v>
      </c>
      <c r="N4" s="5612"/>
      <c r="O4" s="4233"/>
      <c r="P4" s="4234"/>
      <c r="R4" s="4236"/>
      <c r="T4" s="4233" t="s">
        <v>1740</v>
      </c>
      <c r="U4" s="4233" t="s">
        <v>1735</v>
      </c>
      <c r="V4" s="4233" t="s">
        <v>1741</v>
      </c>
      <c r="W4" s="4233" t="s">
        <v>1742</v>
      </c>
      <c r="X4" s="4233" t="s">
        <v>1743</v>
      </c>
      <c r="Y4" s="4233" t="s">
        <v>1738</v>
      </c>
      <c r="Z4" s="4237" t="s">
        <v>1744</v>
      </c>
      <c r="AA4" s="4238" t="s">
        <v>1744</v>
      </c>
      <c r="AB4" s="4233"/>
      <c r="AC4" s="4234"/>
    </row>
    <row r="5" spans="2:29" s="4235" customFormat="1" ht="10.199999999999999">
      <c r="B5" s="4232"/>
      <c r="C5" s="4269"/>
      <c r="D5" s="4233"/>
      <c r="E5" s="4233"/>
      <c r="F5" s="4233"/>
      <c r="G5" s="4233"/>
      <c r="H5" s="4233"/>
      <c r="I5" s="4233"/>
      <c r="J5" s="4233"/>
      <c r="K5" s="4237" t="s">
        <v>1724</v>
      </c>
      <c r="L5" s="4237" t="s">
        <v>1699</v>
      </c>
      <c r="M5" s="4240" t="s">
        <v>1724</v>
      </c>
      <c r="N5" s="4240" t="s">
        <v>1699</v>
      </c>
      <c r="O5" s="4233"/>
      <c r="P5" s="4234"/>
      <c r="R5" s="4236"/>
      <c r="T5" s="4233"/>
      <c r="U5" s="4233"/>
      <c r="V5" s="4233"/>
      <c r="W5" s="4233"/>
      <c r="X5" s="4233"/>
      <c r="Y5" s="4233"/>
      <c r="Z5" s="4237"/>
      <c r="AA5" s="4240"/>
      <c r="AB5" s="4233"/>
      <c r="AC5" s="4234"/>
    </row>
    <row r="6" spans="2:29">
      <c r="B6" s="4152" t="s">
        <v>1700</v>
      </c>
      <c r="C6" s="4153"/>
      <c r="D6" s="4154"/>
      <c r="E6" s="4154"/>
      <c r="F6" s="4161">
        <f>1584+1498</f>
        <v>3082</v>
      </c>
      <c r="G6" s="4161">
        <f>4754+1367</f>
        <v>6121</v>
      </c>
      <c r="H6" s="4161">
        <f>4576+1591</f>
        <v>6167</v>
      </c>
      <c r="I6" s="4161">
        <f>H6*1.03</f>
        <v>6352.01</v>
      </c>
      <c r="J6" s="4161">
        <v>0</v>
      </c>
      <c r="K6" s="4162">
        <f>1136+387+662</f>
        <v>2185</v>
      </c>
      <c r="L6" s="4162">
        <f>1075+1205+1166</f>
        <v>3446</v>
      </c>
      <c r="M6" s="4163">
        <f>4707-4707+3064+2614+4538</f>
        <v>10216</v>
      </c>
      <c r="N6" s="4163">
        <f>2099-2099+2915+233+2671</f>
        <v>5819</v>
      </c>
      <c r="O6" s="4161"/>
      <c r="P6" s="4165"/>
      <c r="R6" s="4152" t="s">
        <v>1701</v>
      </c>
      <c r="S6" s="4153"/>
      <c r="T6" s="4161">
        <f>17400+16900</f>
        <v>34300</v>
      </c>
      <c r="U6" s="314">
        <f>18500+17600</f>
        <v>36100</v>
      </c>
      <c r="V6" s="314">
        <f>18560+17500+18200</f>
        <v>54260</v>
      </c>
      <c r="W6" s="314">
        <f>21200+19600+18300+19900</f>
        <v>79000</v>
      </c>
      <c r="X6" s="314">
        <f>11240+13089+10410+12672</f>
        <v>47411</v>
      </c>
      <c r="Y6" s="314"/>
      <c r="Z6" s="4270">
        <f>6550+5000</f>
        <v>11550</v>
      </c>
      <c r="AA6" s="4271">
        <f>10344+9996+9096+9768</f>
        <v>39204</v>
      </c>
      <c r="AB6" s="4272"/>
      <c r="AC6" s="4273"/>
    </row>
    <row r="7" spans="2:29">
      <c r="B7" s="44"/>
      <c r="F7" s="314"/>
      <c r="G7" s="314"/>
      <c r="H7" s="314"/>
      <c r="I7" s="314">
        <f>I6</f>
        <v>6352.01</v>
      </c>
      <c r="J7" s="314">
        <f>J6</f>
        <v>0</v>
      </c>
      <c r="K7" s="4270"/>
      <c r="L7" s="4270">
        <f>K6+L6</f>
        <v>5631</v>
      </c>
      <c r="M7" s="4271"/>
      <c r="N7" s="4271">
        <f>SUM(M6:N6)</f>
        <v>16035</v>
      </c>
      <c r="O7" s="314"/>
      <c r="P7" s="4273"/>
      <c r="R7" s="4152" t="s">
        <v>1702</v>
      </c>
      <c r="S7" s="4153"/>
      <c r="T7" s="4161">
        <f>7980+8220</f>
        <v>16200</v>
      </c>
      <c r="U7" s="314">
        <f>9120+8670</f>
        <v>17790</v>
      </c>
      <c r="V7" s="314">
        <f>9280+8720+9060</f>
        <v>27060</v>
      </c>
      <c r="W7" s="314">
        <f>10260+9680+9720+9940</f>
        <v>39600</v>
      </c>
      <c r="X7" s="314">
        <f>10680+9660+9600+9700</f>
        <v>39640</v>
      </c>
      <c r="Y7" s="314"/>
      <c r="Z7" s="4270">
        <f>10050+6400</f>
        <v>16450</v>
      </c>
      <c r="AA7" s="4271">
        <f>5304+4980+4668+4776</f>
        <v>19728</v>
      </c>
      <c r="AB7" s="4272"/>
      <c r="AC7" s="4273"/>
    </row>
    <row r="8" spans="2:29" ht="30.6">
      <c r="B8" s="44"/>
      <c r="F8" s="4274" t="s">
        <v>1745</v>
      </c>
      <c r="G8" s="4274" t="s">
        <v>1746</v>
      </c>
      <c r="H8" s="4274" t="s">
        <v>1747</v>
      </c>
      <c r="I8" s="4274"/>
      <c r="J8" s="4274"/>
      <c r="K8" s="4275"/>
      <c r="L8" s="4275"/>
      <c r="M8" s="4276"/>
      <c r="N8" s="4276"/>
      <c r="O8" s="4274"/>
      <c r="P8" s="4277"/>
      <c r="R8" s="4169"/>
      <c r="S8" s="4254"/>
      <c r="T8" s="4170">
        <f t="shared" ref="T8:AA8" si="0">SUM(T6:T7)</f>
        <v>50500</v>
      </c>
      <c r="U8" s="4170">
        <f t="shared" si="0"/>
        <v>53890</v>
      </c>
      <c r="V8" s="4170">
        <f t="shared" si="0"/>
        <v>81320</v>
      </c>
      <c r="W8" s="4170">
        <f t="shared" si="0"/>
        <v>118600</v>
      </c>
      <c r="X8" s="4170">
        <f t="shared" si="0"/>
        <v>87051</v>
      </c>
      <c r="Y8" s="4170">
        <f t="shared" si="0"/>
        <v>0</v>
      </c>
      <c r="Z8" s="4170">
        <f t="shared" si="0"/>
        <v>28000</v>
      </c>
      <c r="AA8" s="4172">
        <f t="shared" si="0"/>
        <v>58932</v>
      </c>
      <c r="AB8" s="4173"/>
      <c r="AC8" s="4174"/>
    </row>
    <row r="9" spans="2:29" ht="51">
      <c r="B9" s="4176"/>
      <c r="C9" s="4177"/>
      <c r="D9" s="4157"/>
      <c r="E9" s="4157"/>
      <c r="F9" s="4278"/>
      <c r="G9" s="4278"/>
      <c r="H9" s="314"/>
      <c r="I9" s="314"/>
      <c r="J9" s="314"/>
      <c r="K9" s="5615" t="s">
        <v>1728</v>
      </c>
      <c r="L9" s="5615"/>
      <c r="M9" s="5615" t="s">
        <v>1930</v>
      </c>
      <c r="N9" s="5615"/>
      <c r="O9" s="314"/>
      <c r="P9" s="4273"/>
      <c r="R9" s="44"/>
      <c r="T9" s="5622" t="s">
        <v>1748</v>
      </c>
      <c r="U9" s="5622"/>
      <c r="V9" s="5622"/>
      <c r="W9" s="5622"/>
      <c r="X9" s="4279" t="s">
        <v>1749</v>
      </c>
      <c r="Y9" s="4279"/>
      <c r="Z9" s="4280" t="s">
        <v>1750</v>
      </c>
      <c r="AA9" s="4281" t="s">
        <v>1929</v>
      </c>
      <c r="AB9" s="4282"/>
      <c r="AC9" s="4283"/>
    </row>
    <row r="10" spans="2:29">
      <c r="B10" s="4176"/>
      <c r="C10" s="4177"/>
      <c r="D10" s="4157"/>
      <c r="E10" s="4157"/>
      <c r="F10" s="4278"/>
      <c r="G10" s="4278"/>
      <c r="H10" s="314"/>
      <c r="I10" s="314"/>
      <c r="J10" s="314"/>
      <c r="K10" s="4270"/>
      <c r="L10" s="4270"/>
      <c r="M10" s="4271"/>
      <c r="N10" s="4271"/>
      <c r="O10" s="314"/>
      <c r="P10" s="4273"/>
      <c r="R10" s="44"/>
      <c r="T10" s="4284"/>
      <c r="U10" s="4284"/>
      <c r="V10" s="4284"/>
      <c r="W10" s="4284"/>
      <c r="X10" s="4284"/>
      <c r="Y10" s="4284"/>
      <c r="Z10" s="4285"/>
      <c r="AA10" s="4286"/>
      <c r="AB10" s="4287"/>
      <c r="AC10" s="4288"/>
    </row>
    <row r="11" spans="2:29">
      <c r="B11" s="4208" t="s">
        <v>1751</v>
      </c>
      <c r="C11" s="4209">
        <v>2</v>
      </c>
      <c r="D11" s="4157"/>
      <c r="E11" s="4157"/>
      <c r="F11" s="4278">
        <f>(F6/$C$11)</f>
        <v>1541</v>
      </c>
      <c r="G11" s="4278">
        <f>(G6/$C$11)</f>
        <v>3060.5</v>
      </c>
      <c r="H11" s="4278">
        <f>(H6/$C$11)</f>
        <v>3083.5</v>
      </c>
      <c r="I11" s="4278"/>
      <c r="J11" s="4278"/>
      <c r="K11" s="4162"/>
      <c r="L11" s="4162"/>
      <c r="M11" s="4163"/>
      <c r="N11" s="4163"/>
      <c r="O11" s="4278"/>
      <c r="P11" s="4289"/>
      <c r="R11" s="4208" t="s">
        <v>1751</v>
      </c>
      <c r="S11" s="4209">
        <v>2</v>
      </c>
      <c r="T11" s="4278">
        <f t="shared" ref="T11:AA11" si="1">(T6+T7)/$S$11</f>
        <v>25250</v>
      </c>
      <c r="U11" s="4278">
        <f t="shared" si="1"/>
        <v>26945</v>
      </c>
      <c r="V11" s="4278">
        <f t="shared" si="1"/>
        <v>40660</v>
      </c>
      <c r="W11" s="4278">
        <f t="shared" si="1"/>
        <v>59300</v>
      </c>
      <c r="X11" s="4278">
        <f t="shared" si="1"/>
        <v>43525.5</v>
      </c>
      <c r="Y11" s="4278">
        <f t="shared" si="1"/>
        <v>0</v>
      </c>
      <c r="Z11" s="4162">
        <f t="shared" si="1"/>
        <v>14000</v>
      </c>
      <c r="AA11" s="4163">
        <f t="shared" si="1"/>
        <v>29466</v>
      </c>
      <c r="AB11" s="4164"/>
      <c r="AC11" s="4289"/>
    </row>
    <row r="12" spans="2:29">
      <c r="B12" s="4208" t="s">
        <v>1732</v>
      </c>
      <c r="C12" s="4209">
        <v>3</v>
      </c>
      <c r="F12" s="4278"/>
      <c r="G12" s="4278">
        <f t="shared" ref="G12:N12" si="2">(G6/$C$12)</f>
        <v>2040.3333333333333</v>
      </c>
      <c r="H12" s="4278">
        <f t="shared" si="2"/>
        <v>2055.6666666666665</v>
      </c>
      <c r="I12" s="4278">
        <f t="shared" si="2"/>
        <v>2117.3366666666666</v>
      </c>
      <c r="J12" s="4278">
        <f t="shared" si="2"/>
        <v>0</v>
      </c>
      <c r="K12" s="4162">
        <f t="shared" si="2"/>
        <v>728.33333333333337</v>
      </c>
      <c r="L12" s="4162">
        <f t="shared" si="2"/>
        <v>1148.6666666666667</v>
      </c>
      <c r="M12" s="4163">
        <f t="shared" si="2"/>
        <v>3405.3333333333335</v>
      </c>
      <c r="N12" s="4163">
        <f t="shared" si="2"/>
        <v>1939.6666666666667</v>
      </c>
      <c r="O12" s="4278"/>
      <c r="P12" s="4289"/>
      <c r="R12" s="4208" t="s">
        <v>1732</v>
      </c>
      <c r="S12" s="4209">
        <v>3</v>
      </c>
      <c r="T12" s="4290"/>
      <c r="U12" s="4290"/>
      <c r="V12" s="4278">
        <f t="shared" ref="V12:AA12" si="3">(V7+V8)/$S$12</f>
        <v>36126.666666666664</v>
      </c>
      <c r="W12" s="4278">
        <f t="shared" si="3"/>
        <v>52733.333333333336</v>
      </c>
      <c r="X12" s="4278">
        <f t="shared" si="3"/>
        <v>42230.333333333336</v>
      </c>
      <c r="Y12" s="4278">
        <f t="shared" si="3"/>
        <v>0</v>
      </c>
      <c r="Z12" s="4162">
        <f t="shared" si="3"/>
        <v>14816.666666666666</v>
      </c>
      <c r="AA12" s="4163">
        <f t="shared" si="3"/>
        <v>26220</v>
      </c>
      <c r="AB12" s="4164"/>
      <c r="AC12" s="4289"/>
    </row>
    <row r="13" spans="2:29">
      <c r="B13" s="4208"/>
      <c r="C13" s="4209"/>
      <c r="D13" s="4157"/>
      <c r="E13" s="4157"/>
      <c r="F13" s="4278"/>
      <c r="G13" s="4278"/>
      <c r="H13" s="4278"/>
      <c r="I13" s="4278"/>
      <c r="J13" s="4278"/>
      <c r="K13" s="4162"/>
      <c r="L13" s="4162"/>
      <c r="M13" s="4163"/>
      <c r="N13" s="4163"/>
      <c r="O13" s="4278"/>
      <c r="P13" s="4289"/>
      <c r="R13" s="4208" t="s">
        <v>1710</v>
      </c>
      <c r="S13" s="4209">
        <v>4</v>
      </c>
      <c r="T13" s="4290"/>
      <c r="U13" s="4290"/>
      <c r="V13" s="4290"/>
      <c r="W13" s="4278">
        <f>(W6+W7)/$S$13</f>
        <v>29650</v>
      </c>
      <c r="X13" s="4278">
        <f>(X6+X7)/$S$13</f>
        <v>21762.75</v>
      </c>
      <c r="Y13" s="4278">
        <f>(Y6+Y7)/$S$13</f>
        <v>0</v>
      </c>
      <c r="Z13" s="4162">
        <f>(Z6+Z7)/$S$13</f>
        <v>7000</v>
      </c>
      <c r="AA13" s="4163">
        <f>(AA6+AA7)/$S$13</f>
        <v>14733</v>
      </c>
      <c r="AB13" s="4164"/>
      <c r="AC13" s="4289"/>
    </row>
    <row r="14" spans="2:29" ht="15" thickBot="1">
      <c r="B14" s="4225"/>
      <c r="C14" s="4226"/>
      <c r="D14" s="4291"/>
      <c r="E14" s="4291"/>
      <c r="F14" s="4291"/>
      <c r="G14" s="4291"/>
      <c r="H14" s="4226"/>
      <c r="I14" s="4226"/>
      <c r="J14" s="4226"/>
      <c r="K14" s="4226"/>
      <c r="L14" s="4226"/>
      <c r="M14" s="4226"/>
      <c r="N14" s="4226"/>
      <c r="O14" s="4226"/>
      <c r="P14" s="4227"/>
      <c r="R14" s="4225"/>
      <c r="S14" s="4226"/>
      <c r="T14" s="4226"/>
      <c r="U14" s="4226"/>
      <c r="V14" s="4226"/>
      <c r="W14" s="4226"/>
      <c r="X14" s="4226"/>
      <c r="Y14" s="4226"/>
      <c r="Z14" s="4226"/>
      <c r="AA14" s="4226"/>
      <c r="AB14" s="4226"/>
      <c r="AC14" s="4227"/>
    </row>
    <row r="15" spans="2:29" s="4500" customFormat="1">
      <c r="Z15" s="4500">
        <v>2021</v>
      </c>
      <c r="AA15" s="4500">
        <v>2022</v>
      </c>
    </row>
    <row r="16" spans="2:29" s="4500" customFormat="1">
      <c r="X16" s="226" t="s">
        <v>1985</v>
      </c>
      <c r="Z16" s="4340">
        <f>Z8+L7</f>
        <v>33631</v>
      </c>
      <c r="AA16" s="4340">
        <f>AA8+N7</f>
        <v>74967</v>
      </c>
    </row>
    <row r="17" spans="24:29" s="4500" customFormat="1">
      <c r="AA17" s="680">
        <f>AA16/Z16</f>
        <v>2.2291041003835748</v>
      </c>
    </row>
    <row r="19" spans="24:29" ht="15.6">
      <c r="X19" s="219" t="s">
        <v>1931</v>
      </c>
      <c r="Y19" s="219"/>
      <c r="Z19" s="219"/>
      <c r="AA19" s="219"/>
      <c r="AB19" s="219"/>
      <c r="AC19" s="219"/>
    </row>
    <row r="20" spans="24:29">
      <c r="X20" s="4500">
        <v>2019</v>
      </c>
      <c r="Y20" s="4500">
        <v>2020</v>
      </c>
      <c r="Z20" s="4500">
        <v>2021</v>
      </c>
      <c r="AA20" s="4500">
        <v>2022</v>
      </c>
      <c r="AB20" s="4500"/>
    </row>
    <row r="21" spans="24:29">
      <c r="X21" s="4299" t="s">
        <v>1926</v>
      </c>
      <c r="Y21" s="4299" t="s">
        <v>1926</v>
      </c>
      <c r="Z21" s="4299" t="s">
        <v>1926</v>
      </c>
      <c r="AA21" s="4299" t="s">
        <v>1926</v>
      </c>
      <c r="AB21" s="22"/>
    </row>
    <row r="22" spans="24:29">
      <c r="X22" s="22">
        <v>100</v>
      </c>
      <c r="Y22" s="22">
        <v>100</v>
      </c>
      <c r="Z22" s="22">
        <v>100</v>
      </c>
      <c r="AA22" s="5114">
        <v>60</v>
      </c>
      <c r="AB22" s="22"/>
    </row>
    <row r="23" spans="24:29">
      <c r="X23" s="4747">
        <f>X8*X22</f>
        <v>8705100</v>
      </c>
      <c r="Y23" s="4747">
        <f>Y8*Y22</f>
        <v>0</v>
      </c>
      <c r="Z23" s="4747">
        <f>Z8*Z22</f>
        <v>2800000</v>
      </c>
      <c r="AA23" s="4747">
        <f>AA8*AA22</f>
        <v>3535920</v>
      </c>
      <c r="AB23" s="4436"/>
    </row>
    <row r="24" spans="24:29">
      <c r="X24" s="4500"/>
      <c r="Y24" s="4500"/>
      <c r="Z24" s="4500"/>
      <c r="AA24" s="4500"/>
      <c r="AB24" s="4500"/>
    </row>
    <row r="25" spans="24:29">
      <c r="X25" s="22"/>
      <c r="Y25" s="22"/>
      <c r="Z25" s="22"/>
      <c r="AA25" s="22"/>
      <c r="AB25" s="22"/>
    </row>
    <row r="26" spans="24:29">
      <c r="X26" s="4299" t="s">
        <v>1927</v>
      </c>
      <c r="Y26" s="4299" t="s">
        <v>1927</v>
      </c>
      <c r="Z26" s="4299" t="s">
        <v>1927</v>
      </c>
      <c r="AA26" s="4299" t="s">
        <v>1927</v>
      </c>
      <c r="AB26" s="22"/>
    </row>
    <row r="27" spans="24:29">
      <c r="X27" s="22">
        <v>100</v>
      </c>
      <c r="Y27" s="22">
        <v>100</v>
      </c>
      <c r="Z27" s="22">
        <v>100</v>
      </c>
      <c r="AA27" s="5114">
        <v>100</v>
      </c>
      <c r="AB27" s="4437">
        <f>AB23+AS23</f>
        <v>0</v>
      </c>
    </row>
    <row r="28" spans="24:29">
      <c r="X28" s="4747">
        <f>I7*X27</f>
        <v>635201</v>
      </c>
      <c r="Y28" s="4747">
        <f>J7*Y27</f>
        <v>0</v>
      </c>
      <c r="Z28" s="4747">
        <f>L7*Z27</f>
        <v>563100</v>
      </c>
      <c r="AA28" s="4747">
        <f>N7*AA27</f>
        <v>1603500</v>
      </c>
    </row>
    <row r="30" spans="24:29" ht="24">
      <c r="X30" s="4332" t="s">
        <v>1928</v>
      </c>
      <c r="Y30" s="4332" t="s">
        <v>1928</v>
      </c>
      <c r="Z30" s="4332" t="s">
        <v>1928</v>
      </c>
      <c r="AA30" s="4332" t="s">
        <v>1928</v>
      </c>
    </row>
    <row r="31" spans="24:29">
      <c r="X31" s="4746">
        <f>X23+X28</f>
        <v>9340301</v>
      </c>
      <c r="Y31" s="4746">
        <f>Y23+Y28</f>
        <v>0</v>
      </c>
      <c r="Z31" s="4746">
        <f>Z23+Z28</f>
        <v>3363100</v>
      </c>
      <c r="AA31" s="4746">
        <f>AA23+AA28</f>
        <v>5139420</v>
      </c>
    </row>
    <row r="32" spans="24:29">
      <c r="Y32" s="680"/>
      <c r="Z32" s="4748" t="s">
        <v>755</v>
      </c>
      <c r="AA32" s="4748">
        <f>AA31/Z31-1</f>
        <v>0.5281793583301122</v>
      </c>
    </row>
  </sheetData>
  <mergeCells count="7">
    <mergeCell ref="T9:W9"/>
    <mergeCell ref="K3:L3"/>
    <mergeCell ref="M3:N3"/>
    <mergeCell ref="K4:L4"/>
    <mergeCell ref="M4:N4"/>
    <mergeCell ref="K9:L9"/>
    <mergeCell ref="M9:N9"/>
  </mergeCells>
  <phoneticPr fontId="11" type="noConversion"/>
  <pageMargins left="0.17" right="0.17" top="0.61" bottom="0.43" header="0.31496062992125984" footer="0.31496062992125984"/>
  <pageSetup paperSize="9" scale="61" orientation="landscape" verticalDpi="597"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7C23B-0FCE-4A6C-AA0C-5AF49CC0A2F4}">
  <sheetPr>
    <tabColor rgb="FF7030A0"/>
    <pageSetUpPr fitToPage="1"/>
  </sheetPr>
  <dimension ref="B1:AC35"/>
  <sheetViews>
    <sheetView topLeftCell="M1" workbookViewId="0">
      <selection activeCell="AA17" sqref="AA17"/>
    </sheetView>
  </sheetViews>
  <sheetFormatPr baseColWidth="10" defaultRowHeight="14.4"/>
  <cols>
    <col min="2" max="2" width="21.88671875" customWidth="1"/>
    <col min="3" max="3" width="2" bestFit="1" customWidth="1"/>
    <col min="4" max="5" width="11.5546875" hidden="1" customWidth="1"/>
    <col min="6" max="8" width="9.5546875" bestFit="1" customWidth="1"/>
    <col min="17" max="17" width="5.109375" customWidth="1"/>
    <col min="18" max="18" width="21.44140625" customWidth="1"/>
    <col min="19" max="19" width="2" bestFit="1" customWidth="1"/>
    <col min="20" max="21" width="14.5546875" hidden="1" customWidth="1"/>
    <col min="22" max="23" width="11.33203125" bestFit="1" customWidth="1"/>
    <col min="24" max="29" width="13.77734375" customWidth="1"/>
  </cols>
  <sheetData>
    <row r="1" spans="2:29" s="45" customFormat="1">
      <c r="B1" s="4130" t="s">
        <v>1752</v>
      </c>
      <c r="C1" s="4131"/>
      <c r="D1" s="4132"/>
      <c r="E1" s="4132"/>
      <c r="F1" s="4132"/>
      <c r="G1" s="4132"/>
      <c r="H1" s="4132"/>
      <c r="I1" s="4132"/>
      <c r="J1" s="4132"/>
      <c r="K1" s="4132"/>
      <c r="L1" s="4132"/>
      <c r="M1" s="4132"/>
      <c r="N1" s="4132"/>
      <c r="O1" s="4132"/>
      <c r="P1" s="4133"/>
      <c r="R1" s="4134" t="s">
        <v>1753</v>
      </c>
      <c r="S1" s="4136"/>
      <c r="T1" s="4132"/>
      <c r="U1" s="4132"/>
      <c r="V1" s="4132"/>
      <c r="W1" s="4132"/>
      <c r="X1" s="4132"/>
      <c r="Y1" s="4132"/>
      <c r="Z1" s="4132"/>
      <c r="AA1" s="4132"/>
      <c r="AB1" s="4132"/>
      <c r="AC1" s="4133"/>
    </row>
    <row r="2" spans="2:29">
      <c r="B2" s="44"/>
      <c r="P2" s="4168"/>
      <c r="R2" s="44"/>
      <c r="AC2" s="4168"/>
    </row>
    <row r="3" spans="2:29" s="2820" customFormat="1">
      <c r="B3" s="4230"/>
      <c r="C3" s="4268"/>
      <c r="D3" s="4216">
        <v>2014</v>
      </c>
      <c r="E3" s="4216">
        <v>2015</v>
      </c>
      <c r="F3" s="4216">
        <v>2016</v>
      </c>
      <c r="G3" s="4216">
        <v>2017</v>
      </c>
      <c r="H3" s="4216">
        <v>2018</v>
      </c>
      <c r="I3" s="4292" t="s">
        <v>868</v>
      </c>
      <c r="J3" s="4292">
        <v>2020</v>
      </c>
      <c r="K3" s="5626">
        <v>2021</v>
      </c>
      <c r="L3" s="5626"/>
      <c r="M3" s="5627">
        <v>2022</v>
      </c>
      <c r="N3" s="5627"/>
      <c r="O3" s="4292"/>
      <c r="P3" s="4293"/>
      <c r="R3" s="312"/>
      <c r="T3" s="4216">
        <v>2015</v>
      </c>
      <c r="U3" s="4216">
        <v>2016</v>
      </c>
      <c r="V3" s="4216">
        <v>2017</v>
      </c>
      <c r="W3" s="4216">
        <v>2018</v>
      </c>
      <c r="X3" s="4216">
        <v>2019</v>
      </c>
      <c r="Y3" s="4216">
        <v>2020</v>
      </c>
      <c r="Z3" s="4212">
        <v>2021</v>
      </c>
      <c r="AA3" s="4220">
        <v>2022</v>
      </c>
      <c r="AB3" s="4216"/>
      <c r="AC3" s="4231"/>
    </row>
    <row r="4" spans="2:29" s="4299" customFormat="1" ht="12">
      <c r="B4" s="4294"/>
      <c r="C4" s="4295"/>
      <c r="D4" s="4296"/>
      <c r="E4" s="4296"/>
      <c r="F4" s="4296" t="s">
        <v>1754</v>
      </c>
      <c r="G4" s="4296" t="s">
        <v>1755</v>
      </c>
      <c r="H4" s="4296" t="s">
        <v>1756</v>
      </c>
      <c r="I4" s="4297" t="s">
        <v>1757</v>
      </c>
      <c r="J4" s="4297"/>
      <c r="K4" s="5628" t="s">
        <v>1758</v>
      </c>
      <c r="L4" s="5628"/>
      <c r="M4" s="5629" t="s">
        <v>1984</v>
      </c>
      <c r="N4" s="5629"/>
      <c r="O4" s="4297"/>
      <c r="P4" s="4298"/>
      <c r="R4" s="4300"/>
      <c r="T4" s="4296" t="s">
        <v>1759</v>
      </c>
      <c r="U4" s="4296" t="s">
        <v>1754</v>
      </c>
      <c r="V4" s="4296" t="s">
        <v>1755</v>
      </c>
      <c r="W4" s="4296" t="s">
        <v>1756</v>
      </c>
      <c r="X4" s="4297" t="s">
        <v>1760</v>
      </c>
      <c r="Y4" s="4297" t="s">
        <v>1761</v>
      </c>
      <c r="Z4" s="4301" t="s">
        <v>1758</v>
      </c>
      <c r="AA4" s="4302" t="s">
        <v>1984</v>
      </c>
      <c r="AB4" s="4297"/>
      <c r="AC4" s="4298"/>
    </row>
    <row r="5" spans="2:29" s="4299" customFormat="1" ht="12">
      <c r="B5" s="4294"/>
      <c r="C5" s="4295"/>
      <c r="D5" s="4296"/>
      <c r="E5" s="4296"/>
      <c r="F5" s="4296"/>
      <c r="G5" s="4296"/>
      <c r="H5" s="4296"/>
      <c r="I5" s="4297"/>
      <c r="J5" s="4297"/>
      <c r="K5" s="4301" t="s">
        <v>1762</v>
      </c>
      <c r="L5" s="4301" t="s">
        <v>1763</v>
      </c>
      <c r="M5" s="4302" t="s">
        <v>1762</v>
      </c>
      <c r="N5" s="4302" t="s">
        <v>1763</v>
      </c>
      <c r="O5" s="4297"/>
      <c r="P5" s="4298"/>
      <c r="R5" s="4300"/>
      <c r="T5" s="4296"/>
      <c r="U5" s="4296"/>
      <c r="V5" s="4296"/>
      <c r="W5" s="4296"/>
      <c r="X5" s="4297"/>
      <c r="Y5" s="4297"/>
      <c r="Z5" s="4301"/>
      <c r="AA5" s="4302"/>
      <c r="AB5" s="4297"/>
      <c r="AC5" s="4298"/>
    </row>
    <row r="6" spans="2:29">
      <c r="B6" s="4152" t="s">
        <v>1700</v>
      </c>
      <c r="C6" s="4153"/>
      <c r="D6" s="4154"/>
      <c r="E6" s="4154"/>
      <c r="F6" s="4154">
        <v>5730</v>
      </c>
      <c r="G6" s="4154">
        <v>5239</v>
      </c>
      <c r="H6" s="4154">
        <v>5372</v>
      </c>
      <c r="I6" s="4154">
        <f>H6*1.02</f>
        <v>5479.4400000000005</v>
      </c>
      <c r="J6" s="4154"/>
      <c r="K6" s="4155">
        <f>1747+768+649+1110</f>
        <v>4274</v>
      </c>
      <c r="L6" s="4155">
        <f>2563+1732+1312+1971</f>
        <v>7578</v>
      </c>
      <c r="M6" s="4156">
        <f>4657+3129+2767+4467</f>
        <v>15020</v>
      </c>
      <c r="N6" s="4156">
        <f>2099+2942+2646+3443</f>
        <v>11130</v>
      </c>
      <c r="O6" s="4154"/>
      <c r="P6" s="4158"/>
      <c r="R6" s="4152" t="s">
        <v>1701</v>
      </c>
      <c r="S6" s="4153"/>
      <c r="T6" s="4161">
        <f>17500+17300+16100</f>
        <v>50900</v>
      </c>
      <c r="U6" s="314">
        <f>18200+17000+16700+17200</f>
        <v>69100</v>
      </c>
      <c r="V6" s="314">
        <f>18800+18500+18300</f>
        <v>55600</v>
      </c>
      <c r="W6" s="4161">
        <f>20100+20400+20000</f>
        <v>60500</v>
      </c>
      <c r="X6" s="4161">
        <f>10984+12582+12516+12156</f>
        <v>48238</v>
      </c>
      <c r="Y6" s="4161"/>
      <c r="Z6" s="4162">
        <f>7140+6900+6552+7008</f>
        <v>27600</v>
      </c>
      <c r="AA6" s="4163">
        <f>10188+9492+8676+9024</f>
        <v>37380</v>
      </c>
      <c r="AB6" s="4161"/>
      <c r="AC6" s="4165"/>
    </row>
    <row r="7" spans="2:29">
      <c r="B7" s="44"/>
      <c r="K7" s="4166"/>
      <c r="L7" s="4270">
        <f>K6+L6</f>
        <v>11852</v>
      </c>
      <c r="M7" s="4271"/>
      <c r="N7" s="4271">
        <f>SUM(M6:N6)</f>
        <v>26150</v>
      </c>
      <c r="P7" s="4168"/>
      <c r="R7" s="4152" t="s">
        <v>1702</v>
      </c>
      <c r="S7" s="4153"/>
      <c r="T7" s="4161">
        <f>8760+8620+8040</f>
        <v>25420</v>
      </c>
      <c r="U7" s="314">
        <f>9050+8500+8140+8670</f>
        <v>34360</v>
      </c>
      <c r="V7" s="314">
        <f>9440+9080+9060</f>
        <v>27580</v>
      </c>
      <c r="W7" s="4161">
        <f>10040+10160+10040</f>
        <v>30240</v>
      </c>
      <c r="X7" s="4161">
        <f>11100+9600+9980+9700</f>
        <v>40380</v>
      </c>
      <c r="Y7" s="4161"/>
      <c r="Z7" s="4162">
        <f>2560+2120+1160+1400</f>
        <v>7240</v>
      </c>
      <c r="AA7" s="4163">
        <f>5376+4956+4632+4800</f>
        <v>19764</v>
      </c>
      <c r="AB7" s="4161"/>
      <c r="AC7" s="4165"/>
    </row>
    <row r="8" spans="2:29" s="683" customFormat="1" ht="30.6">
      <c r="B8" s="5105"/>
      <c r="D8" s="4157"/>
      <c r="E8" s="4157"/>
      <c r="F8" s="4274" t="s">
        <v>1764</v>
      </c>
      <c r="G8" s="4274" t="s">
        <v>1765</v>
      </c>
      <c r="H8" s="4274" t="s">
        <v>1766</v>
      </c>
      <c r="K8" s="5630"/>
      <c r="L8" s="5630"/>
      <c r="M8" s="5089" t="s">
        <v>503</v>
      </c>
      <c r="N8" s="5089">
        <f>N7/L7</f>
        <v>2.2063786702666217</v>
      </c>
      <c r="P8" s="5106"/>
      <c r="R8" s="5107"/>
      <c r="S8" s="5108"/>
      <c r="T8" s="4303">
        <f t="shared" ref="T8:AA8" si="0">SUM(T6:T7)</f>
        <v>76320</v>
      </c>
      <c r="U8" s="4303">
        <f t="shared" si="0"/>
        <v>103460</v>
      </c>
      <c r="V8" s="4303">
        <f t="shared" si="0"/>
        <v>83180</v>
      </c>
      <c r="W8" s="4303">
        <f t="shared" si="0"/>
        <v>90740</v>
      </c>
      <c r="X8" s="4303">
        <f t="shared" si="0"/>
        <v>88618</v>
      </c>
      <c r="Y8" s="4303">
        <f t="shared" si="0"/>
        <v>0</v>
      </c>
      <c r="Z8" s="4304">
        <f t="shared" si="0"/>
        <v>34840</v>
      </c>
      <c r="AA8" s="4305">
        <f t="shared" si="0"/>
        <v>57144</v>
      </c>
      <c r="AB8" s="4303"/>
      <c r="AC8" s="5109"/>
    </row>
    <row r="9" spans="2:29" s="4500" customFormat="1">
      <c r="B9" s="44"/>
      <c r="D9" s="4157"/>
      <c r="E9" s="4157"/>
      <c r="F9" s="4274"/>
      <c r="G9" s="4274"/>
      <c r="H9" s="4274"/>
      <c r="K9" s="5087"/>
      <c r="L9" s="5087"/>
      <c r="M9" s="5088"/>
      <c r="N9" s="5088"/>
      <c r="P9" s="4168"/>
      <c r="R9" s="4169"/>
      <c r="S9" s="4254"/>
      <c r="T9" s="4170"/>
      <c r="U9" s="4170"/>
      <c r="V9" s="4170"/>
      <c r="W9" s="4170"/>
      <c r="X9" s="4303"/>
      <c r="Y9" s="4303"/>
      <c r="Z9" s="5090" t="s">
        <v>503</v>
      </c>
      <c r="AA9" s="5091">
        <f>AA8/Z8</f>
        <v>1.6401836969001149</v>
      </c>
      <c r="AB9" s="4170"/>
      <c r="AC9" s="4174"/>
    </row>
    <row r="10" spans="2:29" ht="51">
      <c r="B10" s="4176"/>
      <c r="C10" s="4177"/>
      <c r="D10" s="4157"/>
      <c r="E10" s="4157"/>
      <c r="F10" s="4157"/>
      <c r="G10" s="4157"/>
      <c r="K10" s="5615" t="s">
        <v>1728</v>
      </c>
      <c r="L10" s="5615"/>
      <c r="M10" s="4167"/>
      <c r="N10" s="4167"/>
      <c r="P10" s="4168"/>
      <c r="R10" s="44"/>
      <c r="T10" s="5625" t="s">
        <v>1767</v>
      </c>
      <c r="U10" s="5625"/>
      <c r="V10" s="5625"/>
      <c r="W10" s="5625"/>
      <c r="X10" s="4279" t="s">
        <v>1749</v>
      </c>
      <c r="Y10" s="4279"/>
      <c r="Z10" s="4280" t="s">
        <v>1750</v>
      </c>
      <c r="AA10" s="4281"/>
      <c r="AB10" s="4279"/>
      <c r="AC10" s="4283"/>
    </row>
    <row r="11" spans="2:29">
      <c r="B11" s="4176"/>
      <c r="C11" s="4177"/>
      <c r="D11" s="4157"/>
      <c r="E11" s="4157"/>
      <c r="F11" s="4157"/>
      <c r="G11" s="4157"/>
      <c r="K11" s="4166"/>
      <c r="L11" s="4166"/>
      <c r="M11" s="4167"/>
      <c r="N11" s="4167"/>
      <c r="P11" s="4168"/>
      <c r="R11" s="44"/>
      <c r="T11" s="4263"/>
      <c r="U11" s="4263"/>
      <c r="V11" s="4263"/>
      <c r="W11" s="4263"/>
      <c r="X11" s="4263"/>
      <c r="Y11" s="4263"/>
      <c r="Z11" s="4306"/>
      <c r="AA11" s="4307"/>
      <c r="AB11" s="4263"/>
      <c r="AC11" s="4308"/>
    </row>
    <row r="12" spans="2:29">
      <c r="B12" s="4208" t="s">
        <v>1732</v>
      </c>
      <c r="C12">
        <v>3</v>
      </c>
      <c r="D12" s="4157"/>
      <c r="E12" s="4157"/>
      <c r="F12" s="4157">
        <f t="shared" ref="F12:N12" si="1">F6/$C$12</f>
        <v>1910</v>
      </c>
      <c r="G12" s="4157">
        <f t="shared" si="1"/>
        <v>1746.3333333333333</v>
      </c>
      <c r="H12" s="4157">
        <f t="shared" si="1"/>
        <v>1790.6666666666667</v>
      </c>
      <c r="I12" s="4157">
        <f t="shared" si="1"/>
        <v>1826.4800000000002</v>
      </c>
      <c r="J12" s="4157">
        <f t="shared" si="1"/>
        <v>0</v>
      </c>
      <c r="K12" s="4155">
        <f t="shared" si="1"/>
        <v>1424.6666666666667</v>
      </c>
      <c r="L12" s="4155">
        <f t="shared" si="1"/>
        <v>2526</v>
      </c>
      <c r="M12" s="4156">
        <f t="shared" si="1"/>
        <v>5006.666666666667</v>
      </c>
      <c r="N12" s="4156">
        <f t="shared" si="1"/>
        <v>3710</v>
      </c>
      <c r="O12" s="4157"/>
      <c r="P12" s="4211"/>
      <c r="R12" s="4208" t="s">
        <v>1732</v>
      </c>
      <c r="S12">
        <v>3</v>
      </c>
      <c r="T12" s="4278">
        <f t="shared" ref="T12:AA12" si="2">(T6+T7)/$S$12</f>
        <v>25440</v>
      </c>
      <c r="U12" s="4278">
        <f t="shared" si="2"/>
        <v>34486.666666666664</v>
      </c>
      <c r="V12" s="4278">
        <f t="shared" si="2"/>
        <v>27726.666666666668</v>
      </c>
      <c r="W12" s="4278">
        <f t="shared" si="2"/>
        <v>30246.666666666668</v>
      </c>
      <c r="X12" s="4278">
        <f t="shared" si="2"/>
        <v>29539.333333333332</v>
      </c>
      <c r="Y12" s="4278">
        <f t="shared" si="2"/>
        <v>0</v>
      </c>
      <c r="Z12" s="4162">
        <f t="shared" si="2"/>
        <v>11613.333333333334</v>
      </c>
      <c r="AA12" s="4163">
        <f t="shared" si="2"/>
        <v>19048</v>
      </c>
      <c r="AB12" s="4278"/>
      <c r="AC12" s="4289"/>
    </row>
    <row r="13" spans="2:29">
      <c r="B13" s="4208" t="s">
        <v>1710</v>
      </c>
      <c r="C13" s="4209">
        <v>4</v>
      </c>
      <c r="F13" s="4157">
        <f>F6/$C$13</f>
        <v>1432.5</v>
      </c>
      <c r="K13" s="4155">
        <f>K6/$C$13</f>
        <v>1068.5</v>
      </c>
      <c r="L13" s="4155">
        <f>L6/$C$13</f>
        <v>1894.5</v>
      </c>
      <c r="M13" s="4156">
        <f>M6/$C$13</f>
        <v>3755</v>
      </c>
      <c r="N13" s="4156">
        <f>N6/$C$13</f>
        <v>2782.5</v>
      </c>
      <c r="P13" s="4168"/>
      <c r="R13" s="4208" t="s">
        <v>1710</v>
      </c>
      <c r="S13" s="4209">
        <v>4</v>
      </c>
      <c r="T13" s="4290"/>
      <c r="U13" s="4278">
        <f>(U6+U7)/$S$13</f>
        <v>25865</v>
      </c>
      <c r="V13" s="4290"/>
      <c r="W13" s="4290"/>
      <c r="X13" s="4290">
        <f>(X6+X7)/$S$13</f>
        <v>22154.5</v>
      </c>
      <c r="Y13" s="4290">
        <f>(Y6+Y7)/$S$13</f>
        <v>0</v>
      </c>
      <c r="Z13" s="4162">
        <f>(Z6+Z7)/$S$13</f>
        <v>8710</v>
      </c>
      <c r="AA13" s="4163">
        <f>(AA6+AA7)/$S$13</f>
        <v>14286</v>
      </c>
      <c r="AB13" s="4290"/>
      <c r="AC13" s="4309"/>
    </row>
    <row r="14" spans="2:29">
      <c r="B14" s="44"/>
      <c r="P14" s="4168"/>
      <c r="R14" s="44"/>
      <c r="AC14" s="4168"/>
    </row>
    <row r="15" spans="2:29" ht="15" thickBot="1">
      <c r="B15" s="4225"/>
      <c r="C15" s="4226"/>
      <c r="D15" s="4226"/>
      <c r="E15" s="4226"/>
      <c r="F15" s="4226"/>
      <c r="G15" s="4226"/>
      <c r="H15" s="4226"/>
      <c r="I15" s="4226"/>
      <c r="J15" s="4226"/>
      <c r="K15" s="4226"/>
      <c r="L15" s="4226"/>
      <c r="M15" s="4226"/>
      <c r="N15" s="4226"/>
      <c r="O15" s="4226"/>
      <c r="P15" s="4227"/>
      <c r="R15" s="4225"/>
      <c r="S15" s="4226"/>
      <c r="T15" s="4226"/>
      <c r="U15" s="4226"/>
      <c r="V15" s="4226"/>
      <c r="W15" s="4226"/>
      <c r="X15" s="4226"/>
      <c r="Y15" s="4226"/>
      <c r="Z15" s="4226"/>
      <c r="AA15" s="4226"/>
      <c r="AB15" s="4226"/>
      <c r="AC15" s="4227"/>
    </row>
    <row r="16" spans="2:29">
      <c r="Z16">
        <v>2021</v>
      </c>
      <c r="AA16">
        <v>2022</v>
      </c>
    </row>
    <row r="17" spans="22:28" s="4500" customFormat="1">
      <c r="X17" s="226" t="s">
        <v>1985</v>
      </c>
      <c r="Z17" s="4340">
        <f>Z8+L7</f>
        <v>46692</v>
      </c>
      <c r="AA17" s="4340">
        <f>AA8+N7</f>
        <v>83294</v>
      </c>
    </row>
    <row r="18" spans="22:28" s="4500" customFormat="1">
      <c r="AA18" s="680">
        <f>AA17/Z17</f>
        <v>1.7839030240726463</v>
      </c>
    </row>
    <row r="19" spans="22:28" s="4500" customFormat="1">
      <c r="AA19" s="680"/>
    </row>
    <row r="20" spans="22:28" ht="15.6">
      <c r="Y20" s="219" t="s">
        <v>1931</v>
      </c>
      <c r="Z20" s="219"/>
      <c r="AA20" s="219"/>
    </row>
    <row r="21" spans="22:28">
      <c r="V21" s="4500">
        <v>2017</v>
      </c>
      <c r="W21" s="4500">
        <v>2018</v>
      </c>
      <c r="X21" s="4500">
        <v>2019</v>
      </c>
      <c r="Y21" s="4500">
        <v>2020</v>
      </c>
      <c r="Z21" s="4500">
        <v>2021</v>
      </c>
      <c r="AA21" s="4500">
        <v>2022</v>
      </c>
    </row>
    <row r="22" spans="22:28">
      <c r="V22" s="4299" t="s">
        <v>1926</v>
      </c>
      <c r="W22" s="4299" t="s">
        <v>1926</v>
      </c>
      <c r="X22" s="4299" t="s">
        <v>1926</v>
      </c>
      <c r="Y22" s="4299" t="s">
        <v>1926</v>
      </c>
      <c r="Z22" s="4299" t="s">
        <v>1926</v>
      </c>
      <c r="AA22" s="4299" t="s">
        <v>1926</v>
      </c>
    </row>
    <row r="23" spans="22:28">
      <c r="V23" s="22">
        <v>60</v>
      </c>
      <c r="W23" s="22">
        <v>60</v>
      </c>
      <c r="X23" s="22">
        <v>60</v>
      </c>
      <c r="Y23" s="22">
        <v>60</v>
      </c>
      <c r="Z23" s="22">
        <v>60</v>
      </c>
      <c r="AA23" s="22">
        <v>60</v>
      </c>
    </row>
    <row r="24" spans="22:28">
      <c r="V24" s="4747">
        <f t="shared" ref="V24:AA24" si="3">V8*V23</f>
        <v>4990800</v>
      </c>
      <c r="W24" s="4747">
        <f t="shared" si="3"/>
        <v>5444400</v>
      </c>
      <c r="X24" s="4747">
        <f t="shared" si="3"/>
        <v>5317080</v>
      </c>
      <c r="Y24" s="4747">
        <f t="shared" si="3"/>
        <v>0</v>
      </c>
      <c r="Z24" s="4747">
        <f t="shared" si="3"/>
        <v>2090400</v>
      </c>
      <c r="AA24" s="4747">
        <f t="shared" si="3"/>
        <v>3428640</v>
      </c>
    </row>
    <row r="25" spans="22:28">
      <c r="W25" s="680">
        <f>W24/V24-1</f>
        <v>9.0887232507814275E-2</v>
      </c>
      <c r="X25" s="680">
        <f>X24/W24-1</f>
        <v>-2.3385497024465463E-2</v>
      </c>
      <c r="Y25" s="680">
        <f>Y24/X24-1</f>
        <v>-1</v>
      </c>
      <c r="Z25" s="680" t="e">
        <f>Z24/Y24-1</f>
        <v>#DIV/0!</v>
      </c>
      <c r="AA25" s="680">
        <f>AA24/Z24-1</f>
        <v>0.6401836969001149</v>
      </c>
    </row>
    <row r="26" spans="22:28" s="4500" customFormat="1">
      <c r="W26" s="680"/>
      <c r="X26" s="680"/>
      <c r="Y26" s="5112">
        <f>Y24/$X$24</f>
        <v>0</v>
      </c>
      <c r="Z26" s="5112">
        <f>Z24/$X$24</f>
        <v>0.39314811889232437</v>
      </c>
      <c r="AA26" s="5112">
        <f>AA24/$X$24</f>
        <v>0.64483513507413848</v>
      </c>
      <c r="AB26" s="5113" t="s">
        <v>1987</v>
      </c>
    </row>
    <row r="27" spans="22:28">
      <c r="X27" s="22"/>
      <c r="Y27" s="22"/>
      <c r="Z27" s="22"/>
      <c r="AA27" s="22"/>
    </row>
    <row r="28" spans="22:28">
      <c r="V28" s="4299" t="s">
        <v>1927</v>
      </c>
      <c r="W28" s="4299" t="s">
        <v>1927</v>
      </c>
      <c r="X28" s="4299" t="s">
        <v>1927</v>
      </c>
      <c r="Y28" s="4299" t="s">
        <v>1927</v>
      </c>
      <c r="Z28" s="4299" t="s">
        <v>1927</v>
      </c>
      <c r="AA28" s="4299" t="s">
        <v>1927</v>
      </c>
    </row>
    <row r="29" spans="22:28">
      <c r="V29" s="22">
        <v>100</v>
      </c>
      <c r="W29" s="22">
        <v>100</v>
      </c>
      <c r="X29" s="22">
        <v>100</v>
      </c>
      <c r="Y29" s="22">
        <v>100</v>
      </c>
      <c r="Z29" s="22">
        <v>100</v>
      </c>
      <c r="AA29" s="22">
        <v>100</v>
      </c>
    </row>
    <row r="30" spans="22:28">
      <c r="V30" s="4747">
        <f>G7*V29</f>
        <v>0</v>
      </c>
      <c r="W30" s="4747">
        <f>H7*W29</f>
        <v>0</v>
      </c>
      <c r="X30" s="4747">
        <f>I6*X29</f>
        <v>547944</v>
      </c>
      <c r="Y30" s="4747">
        <f>J7*Y29</f>
        <v>0</v>
      </c>
      <c r="Z30" s="4747">
        <f>L7*Z29</f>
        <v>1185200</v>
      </c>
      <c r="AA30" s="4747">
        <f>N7*AA29</f>
        <v>2615000</v>
      </c>
    </row>
    <row r="31" spans="22:28">
      <c r="V31" s="4500"/>
      <c r="W31" s="4500"/>
      <c r="X31" s="4500"/>
      <c r="Y31" s="4500"/>
      <c r="Z31" s="4500"/>
      <c r="AA31" s="4500"/>
    </row>
    <row r="32" spans="22:28" ht="24">
      <c r="V32" s="4332" t="s">
        <v>1928</v>
      </c>
      <c r="W32" s="4332" t="s">
        <v>1928</v>
      </c>
      <c r="X32" s="4332" t="s">
        <v>1928</v>
      </c>
      <c r="Y32" s="4332" t="s">
        <v>1928</v>
      </c>
      <c r="Z32" s="4332" t="s">
        <v>1928</v>
      </c>
      <c r="AA32" s="4332" t="s">
        <v>1928</v>
      </c>
    </row>
    <row r="33" spans="22:28">
      <c r="V33" s="4746">
        <f t="shared" ref="V33:AA33" si="4">V24+V30</f>
        <v>4990800</v>
      </c>
      <c r="W33" s="4746">
        <f t="shared" si="4"/>
        <v>5444400</v>
      </c>
      <c r="X33" s="4746">
        <f t="shared" si="4"/>
        <v>5865024</v>
      </c>
      <c r="Y33" s="4746">
        <f t="shared" si="4"/>
        <v>0</v>
      </c>
      <c r="Z33" s="4746">
        <f t="shared" si="4"/>
        <v>3275600</v>
      </c>
      <c r="AA33" s="4746">
        <f t="shared" si="4"/>
        <v>6043640</v>
      </c>
    </row>
    <row r="34" spans="22:28">
      <c r="V34" s="680"/>
      <c r="W34" s="680"/>
      <c r="X34" s="4748">
        <f>X33/W33-1</f>
        <v>7.7258100066122992E-2</v>
      </c>
      <c r="Y34" s="4748">
        <f>Y33/X33-1</f>
        <v>-1</v>
      </c>
      <c r="Z34" s="4748" t="e">
        <f>Z33/Y33-1</f>
        <v>#DIV/0!</v>
      </c>
      <c r="AA34" s="4748">
        <f>AA33/Z33-1</f>
        <v>0.8450482354377824</v>
      </c>
      <c r="AB34" t="s">
        <v>503</v>
      </c>
    </row>
    <row r="35" spans="22:28">
      <c r="Y35" s="5110">
        <f>Y33/$X$33</f>
        <v>0</v>
      </c>
      <c r="Z35" s="5110">
        <f>Z33/$X$33</f>
        <v>0.55849728833164192</v>
      </c>
      <c r="AA35" s="5110">
        <f>AA33/$X$33</f>
        <v>1.0304544363330823</v>
      </c>
      <c r="AB35" s="5111" t="s">
        <v>1987</v>
      </c>
    </row>
  </sheetData>
  <mergeCells count="7">
    <mergeCell ref="K10:L10"/>
    <mergeCell ref="T10:W10"/>
    <mergeCell ref="K3:L3"/>
    <mergeCell ref="M3:N3"/>
    <mergeCell ref="K4:L4"/>
    <mergeCell ref="M4:N4"/>
    <mergeCell ref="K8:L8"/>
  </mergeCells>
  <pageMargins left="0.70866141732283472" right="0.70866141732283472" top="0.74803149606299213" bottom="0.74803149606299213" header="0.31496062992125984" footer="0.31496062992125984"/>
  <pageSetup paperSize="9" scale="66" fitToWidth="2" orientation="landscape" verticalDpi="597"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438D4-7BC8-4C95-B801-2D7EF675BBD6}">
  <sheetPr>
    <tabColor rgb="FF7030A0"/>
    <pageSetUpPr fitToPage="1"/>
  </sheetPr>
  <dimension ref="B1:AK42"/>
  <sheetViews>
    <sheetView topLeftCell="O7" workbookViewId="0">
      <selection activeCell="AE4" sqref="AE4:AG4"/>
    </sheetView>
  </sheetViews>
  <sheetFormatPr baseColWidth="10" defaultRowHeight="14.4"/>
  <cols>
    <col min="1" max="1" width="4" customWidth="1"/>
    <col min="2" max="2" width="21.5546875" customWidth="1"/>
    <col min="3" max="4" width="11.5546875" hidden="1" customWidth="1"/>
    <col min="5" max="7" width="0" hidden="1" customWidth="1"/>
    <col min="17" max="17" width="4.21875" customWidth="1"/>
    <col min="19" max="19" width="21.21875" customWidth="1"/>
    <col min="20" max="20" width="11.5546875" hidden="1" customWidth="1"/>
    <col min="21" max="23" width="0" hidden="1" customWidth="1"/>
    <col min="37" max="37" width="22.33203125" customWidth="1"/>
  </cols>
  <sheetData>
    <row r="1" spans="2:37" s="45" customFormat="1">
      <c r="B1" s="4130" t="s">
        <v>1768</v>
      </c>
      <c r="C1" s="4132"/>
      <c r="D1" s="4132"/>
      <c r="E1" s="4132"/>
      <c r="F1" s="4132"/>
      <c r="G1" s="4132"/>
      <c r="H1" s="4132"/>
      <c r="I1" s="4132"/>
      <c r="J1" s="4132"/>
      <c r="K1" s="4132"/>
      <c r="L1" s="4132"/>
      <c r="M1" s="4132"/>
      <c r="N1" s="4132"/>
      <c r="O1" s="4132"/>
      <c r="P1" s="4133"/>
      <c r="S1" s="4134" t="s">
        <v>1769</v>
      </c>
      <c r="T1" s="4132"/>
      <c r="U1" s="4132"/>
      <c r="V1" s="4132"/>
      <c r="W1" s="4132"/>
      <c r="X1" s="4132"/>
      <c r="Y1" s="4132"/>
      <c r="Z1" s="4132"/>
      <c r="AA1" s="4132"/>
      <c r="AB1" s="4132"/>
      <c r="AC1" s="4132"/>
      <c r="AD1" s="4132"/>
      <c r="AE1" s="4132"/>
      <c r="AF1" s="4132"/>
      <c r="AG1" s="4132"/>
      <c r="AH1" s="4132"/>
      <c r="AI1" s="4132"/>
      <c r="AJ1" s="4133"/>
    </row>
    <row r="2" spans="2:37">
      <c r="B2" s="44"/>
      <c r="P2" s="4168"/>
      <c r="S2" s="44"/>
      <c r="AJ2" s="4168"/>
    </row>
    <row r="3" spans="2:37" s="2820" customFormat="1">
      <c r="B3" s="4230"/>
      <c r="C3" s="4216">
        <v>2014</v>
      </c>
      <c r="D3" s="4216">
        <v>2015</v>
      </c>
      <c r="E3" s="4216">
        <v>2016</v>
      </c>
      <c r="F3" s="4216">
        <v>2017</v>
      </c>
      <c r="G3" s="4216">
        <v>2018</v>
      </c>
      <c r="H3" s="4216" t="s">
        <v>868</v>
      </c>
      <c r="I3" s="5632" t="s">
        <v>1395</v>
      </c>
      <c r="J3" s="5632"/>
      <c r="K3" s="5623">
        <v>2021</v>
      </c>
      <c r="L3" s="5623"/>
      <c r="M3" s="5610">
        <v>2022</v>
      </c>
      <c r="N3" s="5610"/>
      <c r="O3" s="4216"/>
      <c r="P3" s="4231"/>
      <c r="S3" s="312"/>
      <c r="T3" s="4216">
        <v>2015</v>
      </c>
      <c r="U3" s="4216">
        <v>2016</v>
      </c>
      <c r="V3" s="4216">
        <v>2017</v>
      </c>
      <c r="W3" s="4216">
        <v>2018</v>
      </c>
      <c r="X3" s="4216">
        <v>2019</v>
      </c>
      <c r="Y3" s="5632" t="s">
        <v>1395</v>
      </c>
      <c r="Z3" s="5632"/>
      <c r="AA3" s="5632"/>
      <c r="AB3" s="5623">
        <v>2021</v>
      </c>
      <c r="AC3" s="5623"/>
      <c r="AD3" s="5623"/>
      <c r="AE3" s="5610">
        <v>2022</v>
      </c>
      <c r="AF3" s="5610"/>
      <c r="AG3" s="5610"/>
      <c r="AH3" s="4216"/>
      <c r="AI3" s="4216"/>
      <c r="AJ3" s="4231"/>
    </row>
    <row r="4" spans="2:37" s="4299" customFormat="1" ht="12">
      <c r="B4" s="4294"/>
      <c r="C4" s="4296"/>
      <c r="D4" s="4296"/>
      <c r="E4" s="4296" t="s">
        <v>1770</v>
      </c>
      <c r="F4" s="4296" t="s">
        <v>1771</v>
      </c>
      <c r="G4" s="4296" t="s">
        <v>1772</v>
      </c>
      <c r="H4" s="4296" t="s">
        <v>1773</v>
      </c>
      <c r="I4" s="5633" t="s">
        <v>1774</v>
      </c>
      <c r="J4" s="5633"/>
      <c r="K4" s="5634" t="s">
        <v>1775</v>
      </c>
      <c r="L4" s="5634"/>
      <c r="M4" s="5631"/>
      <c r="N4" s="5631"/>
      <c r="O4" s="4296"/>
      <c r="P4" s="4310"/>
      <c r="S4" s="4300"/>
      <c r="T4" s="4296"/>
      <c r="U4" s="4296" t="s">
        <v>1770</v>
      </c>
      <c r="V4" s="4296" t="s">
        <v>1776</v>
      </c>
      <c r="W4" s="4296" t="s">
        <v>1777</v>
      </c>
      <c r="X4" s="4296" t="s">
        <v>1773</v>
      </c>
      <c r="Y4" s="5633" t="s">
        <v>1774</v>
      </c>
      <c r="Z4" s="5633"/>
      <c r="AA4" s="5633"/>
      <c r="AB4" s="5634" t="s">
        <v>1775</v>
      </c>
      <c r="AC4" s="5634"/>
      <c r="AD4" s="5634"/>
      <c r="AE4" s="5631"/>
      <c r="AF4" s="5631"/>
      <c r="AG4" s="5631"/>
      <c r="AH4" s="4296"/>
      <c r="AI4" s="4296"/>
      <c r="AJ4" s="4310"/>
    </row>
    <row r="5" spans="2:37" s="4299" customFormat="1" ht="12">
      <c r="B5" s="4294"/>
      <c r="C5" s="4296"/>
      <c r="D5" s="4296"/>
      <c r="E5" s="4296"/>
      <c r="F5" s="4296"/>
      <c r="G5" s="4296"/>
      <c r="H5" s="4296"/>
      <c r="I5" s="4296" t="s">
        <v>1724</v>
      </c>
      <c r="J5" s="4296" t="s">
        <v>1699</v>
      </c>
      <c r="K5" s="4311" t="s">
        <v>1724</v>
      </c>
      <c r="L5" s="4311" t="s">
        <v>1699</v>
      </c>
      <c r="M5" s="4312" t="s">
        <v>1724</v>
      </c>
      <c r="N5" s="4312" t="s">
        <v>1699</v>
      </c>
      <c r="O5" s="4296"/>
      <c r="P5" s="4310"/>
      <c r="S5" s="4300"/>
      <c r="T5" s="4296"/>
      <c r="U5" s="4296"/>
      <c r="V5" s="4296"/>
      <c r="W5" s="4296"/>
      <c r="X5" s="4296"/>
      <c r="Y5" s="5633"/>
      <c r="Z5" s="5633"/>
      <c r="AA5" s="5633"/>
      <c r="AB5" s="5634"/>
      <c r="AC5" s="5634"/>
      <c r="AD5" s="5634"/>
      <c r="AE5" s="5635"/>
      <c r="AF5" s="5635"/>
      <c r="AG5" s="5635"/>
      <c r="AH5" s="4296"/>
      <c r="AI5" s="4296"/>
      <c r="AJ5" s="4310"/>
    </row>
    <row r="6" spans="2:37">
      <c r="B6" s="4152" t="s">
        <v>1700</v>
      </c>
      <c r="C6" s="4154"/>
      <c r="D6" s="4154"/>
      <c r="E6" s="4154">
        <v>6312</v>
      </c>
      <c r="F6" s="4154">
        <v>7025</v>
      </c>
      <c r="G6" s="4154">
        <v>7175</v>
      </c>
      <c r="H6" s="4154">
        <f>G6*1.02</f>
        <v>7318.5</v>
      </c>
      <c r="I6" s="4154">
        <v>730</v>
      </c>
      <c r="J6" s="4154">
        <v>904</v>
      </c>
      <c r="K6" s="4155">
        <f>2721+1367+1466+1818</f>
        <v>7372</v>
      </c>
      <c r="L6" s="4155">
        <f>2902+2542+2953+2788</f>
        <v>11185</v>
      </c>
      <c r="M6" s="4156"/>
      <c r="N6" s="4156"/>
      <c r="O6" s="4157"/>
      <c r="P6" s="4211"/>
      <c r="S6" s="4152" t="s">
        <v>1701</v>
      </c>
      <c r="T6" s="4154">
        <v>59301</v>
      </c>
      <c r="U6">
        <v>60187</v>
      </c>
      <c r="V6">
        <v>59894</v>
      </c>
      <c r="W6" s="4154">
        <v>61508</v>
      </c>
      <c r="X6" s="4154">
        <f>23040+22120+20940</f>
        <v>66100</v>
      </c>
      <c r="Y6" s="5636">
        <v>0</v>
      </c>
      <c r="Z6" s="5636"/>
      <c r="AA6" s="5636"/>
      <c r="AB6" s="5597">
        <f>16700+14400+9750+8950</f>
        <v>49800</v>
      </c>
      <c r="AC6" s="5597"/>
      <c r="AD6" s="5597"/>
      <c r="AE6" s="5598"/>
      <c r="AF6" s="5598"/>
      <c r="AG6" s="5598"/>
      <c r="AH6" s="4210"/>
      <c r="AI6" s="4210"/>
      <c r="AJ6" s="4211"/>
    </row>
    <row r="7" spans="2:37">
      <c r="B7" s="44"/>
      <c r="I7" s="5637">
        <f>SUM(I6:J6)</f>
        <v>1634</v>
      </c>
      <c r="J7" s="5638"/>
      <c r="K7" s="5639">
        <f>SUM(K6:L6)</f>
        <v>18557</v>
      </c>
      <c r="L7" s="5639"/>
      <c r="M7" s="5640">
        <f>SUM(M6:N6)</f>
        <v>0</v>
      </c>
      <c r="N7" s="5640"/>
      <c r="O7" s="115"/>
      <c r="P7" s="4168"/>
      <c r="S7" s="4152" t="s">
        <v>1702</v>
      </c>
      <c r="T7" s="4154">
        <v>25230</v>
      </c>
      <c r="U7">
        <v>28200</v>
      </c>
      <c r="V7">
        <v>29160</v>
      </c>
      <c r="W7" s="4154">
        <v>30105</v>
      </c>
      <c r="X7" s="4154">
        <f>11260+10320+9600</f>
        <v>31180</v>
      </c>
      <c r="Y7" s="5636">
        <v>0</v>
      </c>
      <c r="Z7" s="5636"/>
      <c r="AA7" s="5636"/>
      <c r="AB7" s="5597">
        <f>10500+8300+4400+4800</f>
        <v>28000</v>
      </c>
      <c r="AC7" s="5597"/>
      <c r="AD7" s="5597"/>
      <c r="AE7" s="5598"/>
      <c r="AF7" s="5598"/>
      <c r="AG7" s="5598"/>
      <c r="AH7" s="4210"/>
      <c r="AI7" s="4210"/>
      <c r="AJ7" s="4211"/>
    </row>
    <row r="8" spans="2:37">
      <c r="B8" s="44"/>
      <c r="K8" s="4166"/>
      <c r="L8" s="4166"/>
      <c r="M8" s="4167"/>
      <c r="N8" s="4167"/>
      <c r="P8" s="4168"/>
      <c r="S8" s="4152"/>
      <c r="T8" s="4154"/>
      <c r="W8" s="4154"/>
      <c r="X8" s="4154"/>
      <c r="Y8" s="5636"/>
      <c r="Z8" s="5636"/>
      <c r="AA8" s="5636"/>
      <c r="AB8" s="5597"/>
      <c r="AC8" s="5597"/>
      <c r="AD8" s="5597"/>
      <c r="AE8" s="5598"/>
      <c r="AF8" s="5598"/>
      <c r="AG8" s="5598"/>
      <c r="AH8" s="4210"/>
      <c r="AI8" s="4210"/>
      <c r="AJ8" s="4211"/>
      <c r="AK8" s="4313"/>
    </row>
    <row r="9" spans="2:37">
      <c r="B9" s="44"/>
      <c r="K9" s="4166"/>
      <c r="L9" s="4166"/>
      <c r="M9" s="4167"/>
      <c r="N9" s="4167"/>
      <c r="P9" s="4168"/>
      <c r="S9" s="4152"/>
      <c r="T9" s="4314">
        <f>SUM(T3:T7)</f>
        <v>86546</v>
      </c>
      <c r="U9" s="4314">
        <f>SUM(U6:U7)</f>
        <v>88387</v>
      </c>
      <c r="V9" s="4314">
        <f>SUM(V6:V7)</f>
        <v>89054</v>
      </c>
      <c r="W9" s="4314">
        <f>SUM(W6:W7)</f>
        <v>91613</v>
      </c>
      <c r="X9" s="4314">
        <f>SUM(X6:X7)</f>
        <v>97280</v>
      </c>
      <c r="Y9" s="5641">
        <f>SUM(Y6:Y8)</f>
        <v>0</v>
      </c>
      <c r="Z9" s="5641"/>
      <c r="AA9" s="5641"/>
      <c r="AB9" s="5642">
        <f>SUM(AB6:AB8)</f>
        <v>77800</v>
      </c>
      <c r="AC9" s="5642"/>
      <c r="AD9" s="5642"/>
      <c r="AE9" s="5643">
        <f>SUM(AE6:AE8)</f>
        <v>0</v>
      </c>
      <c r="AF9" s="5643"/>
      <c r="AG9" s="5643"/>
      <c r="AH9" s="4315"/>
      <c r="AI9" s="4315"/>
      <c r="AJ9" s="4316"/>
      <c r="AK9" s="4274"/>
    </row>
    <row r="10" spans="2:37">
      <c r="B10" s="44"/>
      <c r="K10" s="4166"/>
      <c r="L10" s="4166"/>
      <c r="M10" s="4167"/>
      <c r="N10" s="4167"/>
      <c r="P10" s="4168"/>
      <c r="S10" s="4169"/>
      <c r="U10" s="4178">
        <f>U9/T9-1</f>
        <v>2.127192475677675E-2</v>
      </c>
      <c r="V10" s="4178">
        <f>V9/U9-1</f>
        <v>7.5463586274000516E-3</v>
      </c>
      <c r="W10" s="4178">
        <f>W9/V9-1</f>
        <v>2.8735374042715645E-2</v>
      </c>
      <c r="X10" s="4178">
        <f>X9/W9-1</f>
        <v>6.1858033248556321E-2</v>
      </c>
      <c r="Y10" s="5644">
        <f>Y9/X9-1</f>
        <v>-1</v>
      </c>
      <c r="Z10" s="5644"/>
      <c r="AA10" s="5644"/>
      <c r="AB10" s="5595" t="e">
        <f>AB9/Y9-1</f>
        <v>#DIV/0!</v>
      </c>
      <c r="AC10" s="5595"/>
      <c r="AD10" s="5595"/>
      <c r="AE10" s="5596">
        <f>AE9/AB9-1</f>
        <v>-1</v>
      </c>
      <c r="AF10" s="5596"/>
      <c r="AG10" s="5596"/>
      <c r="AH10" s="4179"/>
      <c r="AI10" s="4179"/>
      <c r="AJ10" s="4317"/>
    </row>
    <row r="11" spans="2:37">
      <c r="B11" s="44"/>
      <c r="E11" s="4178"/>
      <c r="F11" s="4178">
        <f>F6/E6-1</f>
        <v>0.1129594423320659</v>
      </c>
      <c r="G11" s="4178">
        <f>G6/F6-1</f>
        <v>2.1352313167259718E-2</v>
      </c>
      <c r="H11" s="4178">
        <f>H6/G6-1</f>
        <v>2.0000000000000018E-2</v>
      </c>
      <c r="J11" s="4178">
        <f>J6/H6-1</f>
        <v>-0.87647742023638719</v>
      </c>
      <c r="K11" s="4318">
        <f>K6/I6-1</f>
        <v>9.0986301369863014</v>
      </c>
      <c r="L11" s="4318">
        <f>L6/J6-1</f>
        <v>11.372787610619469</v>
      </c>
      <c r="M11" s="4255">
        <f>M6/K6-1</f>
        <v>-1</v>
      </c>
      <c r="N11" s="4255">
        <f>N6/L6-1</f>
        <v>-1</v>
      </c>
      <c r="O11" s="4319"/>
      <c r="P11" s="4317"/>
      <c r="S11" s="44"/>
      <c r="AB11" s="4166"/>
      <c r="AC11" s="4166"/>
      <c r="AD11" s="4166"/>
      <c r="AE11" s="4167"/>
      <c r="AF11" s="4167"/>
      <c r="AG11" s="4167"/>
      <c r="AJ11" s="4168"/>
    </row>
    <row r="12" spans="2:37" ht="40.799999999999997">
      <c r="B12" s="44"/>
      <c r="E12" s="4274" t="s">
        <v>1778</v>
      </c>
      <c r="F12" s="4274" t="s">
        <v>1779</v>
      </c>
      <c r="G12" s="4274" t="s">
        <v>1780</v>
      </c>
      <c r="H12" s="4274"/>
      <c r="I12" s="5615" t="s">
        <v>1781</v>
      </c>
      <c r="J12" s="5615"/>
      <c r="K12" s="5601" t="s">
        <v>1707</v>
      </c>
      <c r="L12" s="5601"/>
      <c r="M12" s="4276"/>
      <c r="N12" s="4276"/>
      <c r="O12" s="4320"/>
      <c r="P12" s="4321"/>
      <c r="S12" s="44"/>
      <c r="T12" s="5625" t="s">
        <v>1782</v>
      </c>
      <c r="U12" s="5625"/>
      <c r="V12" s="5625"/>
      <c r="W12" s="5625"/>
      <c r="X12" s="4313" t="s">
        <v>1783</v>
      </c>
      <c r="Y12" s="4313" t="s">
        <v>1784</v>
      </c>
      <c r="Z12" s="4313"/>
      <c r="AA12" s="4313"/>
      <c r="AB12" s="4322"/>
      <c r="AC12" s="4313" t="s">
        <v>1785</v>
      </c>
      <c r="AD12" s="4322"/>
      <c r="AE12" s="4323"/>
      <c r="AF12" s="4323"/>
      <c r="AG12" s="4323"/>
      <c r="AH12" s="4313"/>
      <c r="AI12" s="4313"/>
      <c r="AJ12" s="4324"/>
    </row>
    <row r="13" spans="2:37">
      <c r="B13" s="44"/>
      <c r="K13" s="4166"/>
      <c r="L13" s="4166"/>
      <c r="M13" s="4167"/>
      <c r="N13" s="4167"/>
      <c r="P13" s="4168"/>
      <c r="S13" s="44"/>
      <c r="AB13" s="4166"/>
      <c r="AC13" s="4166"/>
      <c r="AD13" s="4166"/>
      <c r="AE13" s="4167"/>
      <c r="AF13" s="4167"/>
      <c r="AG13" s="4167"/>
      <c r="AJ13" s="4168"/>
    </row>
    <row r="14" spans="2:37">
      <c r="B14" s="4208" t="s">
        <v>1710</v>
      </c>
      <c r="C14" s="4157"/>
      <c r="D14" s="4157"/>
      <c r="E14" s="4157">
        <f t="shared" ref="E14:N14" si="0">E6/4</f>
        <v>1578</v>
      </c>
      <c r="F14" s="4157">
        <f t="shared" si="0"/>
        <v>1756.25</v>
      </c>
      <c r="G14" s="4157">
        <f t="shared" si="0"/>
        <v>1793.75</v>
      </c>
      <c r="H14" s="4157">
        <f t="shared" si="0"/>
        <v>1829.625</v>
      </c>
      <c r="I14" s="4157">
        <f t="shared" si="0"/>
        <v>182.5</v>
      </c>
      <c r="J14" s="4157">
        <f t="shared" si="0"/>
        <v>226</v>
      </c>
      <c r="K14" s="4155">
        <f t="shared" si="0"/>
        <v>1843</v>
      </c>
      <c r="L14" s="4155">
        <f t="shared" si="0"/>
        <v>2796.25</v>
      </c>
      <c r="M14" s="4156">
        <f t="shared" si="0"/>
        <v>0</v>
      </c>
      <c r="N14" s="4156">
        <f t="shared" si="0"/>
        <v>0</v>
      </c>
      <c r="O14" s="4157"/>
      <c r="P14" s="4211"/>
      <c r="S14" s="4208" t="s">
        <v>1710</v>
      </c>
      <c r="T14" s="4157">
        <f t="shared" ref="T14:Y14" si="1">(T9)/4</f>
        <v>21636.5</v>
      </c>
      <c r="U14" s="4157">
        <f t="shared" si="1"/>
        <v>22096.75</v>
      </c>
      <c r="V14" s="4157">
        <f t="shared" si="1"/>
        <v>22263.5</v>
      </c>
      <c r="W14" s="4157">
        <f t="shared" si="1"/>
        <v>22903.25</v>
      </c>
      <c r="X14" s="4157">
        <f t="shared" si="1"/>
        <v>24320</v>
      </c>
      <c r="Y14" s="4157">
        <f t="shared" si="1"/>
        <v>0</v>
      </c>
      <c r="Z14" s="4157"/>
      <c r="AA14" s="4157"/>
      <c r="AB14" s="5597">
        <f>(AB9)/4</f>
        <v>19450</v>
      </c>
      <c r="AC14" s="5597"/>
      <c r="AD14" s="5597"/>
      <c r="AE14" s="5598">
        <f>(AE9)/4</f>
        <v>0</v>
      </c>
      <c r="AF14" s="5598"/>
      <c r="AG14" s="5598"/>
      <c r="AH14" s="4210"/>
      <c r="AI14" s="4210"/>
      <c r="AJ14" s="4211"/>
    </row>
    <row r="15" spans="2:37" ht="15" thickBot="1">
      <c r="B15" s="4325" t="s">
        <v>1699</v>
      </c>
      <c r="C15" s="4291"/>
      <c r="D15" s="4291"/>
      <c r="E15" s="4291"/>
      <c r="F15" s="4226"/>
      <c r="G15" s="4226"/>
      <c r="H15" s="4226"/>
      <c r="I15" s="4226"/>
      <c r="J15" s="4226"/>
      <c r="K15" s="4226"/>
      <c r="L15" s="4226"/>
      <c r="M15" s="4226"/>
      <c r="N15" s="4226"/>
      <c r="O15" s="4226"/>
      <c r="P15" s="4227"/>
      <c r="S15" s="4225"/>
      <c r="T15" s="4226"/>
      <c r="U15" s="4226"/>
      <c r="V15" s="4226"/>
      <c r="W15" s="4226"/>
      <c r="X15" s="4226"/>
      <c r="Y15" s="4226"/>
      <c r="Z15" s="4226"/>
      <c r="AA15" s="4226"/>
      <c r="AB15" s="4226"/>
      <c r="AC15" s="4226"/>
      <c r="AD15" s="4226"/>
      <c r="AE15" s="4226"/>
      <c r="AF15" s="4226"/>
      <c r="AG15" s="4226"/>
      <c r="AH15" s="4226"/>
      <c r="AI15" s="4226"/>
      <c r="AJ15" s="4227"/>
    </row>
    <row r="16" spans="2:37">
      <c r="B16" s="4177"/>
      <c r="C16" s="4157"/>
      <c r="D16" s="4157"/>
      <c r="E16" s="4157"/>
      <c r="F16" s="4157"/>
    </row>
    <row r="17" spans="19:36" ht="15" thickBot="1"/>
    <row r="18" spans="19:36" s="4330" customFormat="1">
      <c r="S18" s="4326"/>
      <c r="T18" s="4327"/>
      <c r="U18" s="4327"/>
      <c r="V18" s="4327"/>
      <c r="W18" s="4328"/>
      <c r="X18" s="4328"/>
      <c r="Y18" s="5645" t="s">
        <v>1395</v>
      </c>
      <c r="Z18" s="5645"/>
      <c r="AA18" s="5645"/>
      <c r="AB18" s="5646">
        <v>2021</v>
      </c>
      <c r="AC18" s="5646"/>
      <c r="AD18" s="5646"/>
      <c r="AE18" s="4328"/>
      <c r="AF18" s="4328"/>
      <c r="AG18" s="4328"/>
      <c r="AH18" s="4328"/>
      <c r="AI18" s="4328"/>
      <c r="AJ18" s="4329"/>
    </row>
    <row r="19" spans="19:36" s="4330" customFormat="1">
      <c r="S19" s="4331"/>
      <c r="W19" s="4332"/>
      <c r="X19" s="4332"/>
      <c r="Y19" s="5633" t="s">
        <v>1774</v>
      </c>
      <c r="Z19" s="5633"/>
      <c r="AA19" s="5633"/>
      <c r="AB19" s="5634"/>
      <c r="AC19" s="5634"/>
      <c r="AD19" s="5634"/>
      <c r="AE19" s="4332"/>
      <c r="AF19" s="4332"/>
      <c r="AG19" s="4332"/>
      <c r="AH19" s="4332"/>
      <c r="AI19" s="4332"/>
      <c r="AJ19" s="4333"/>
    </row>
    <row r="20" spans="19:36" s="4330" customFormat="1" ht="36">
      <c r="S20" s="4331" t="s">
        <v>1786</v>
      </c>
      <c r="Y20" s="4332" t="s">
        <v>1787</v>
      </c>
      <c r="Z20" s="4332" t="s">
        <v>1788</v>
      </c>
      <c r="AA20" s="4332" t="s">
        <v>1789</v>
      </c>
      <c r="AB20" s="4334" t="s">
        <v>1790</v>
      </c>
      <c r="AC20" s="4334" t="s">
        <v>1791</v>
      </c>
      <c r="AD20" s="4334" t="s">
        <v>1789</v>
      </c>
      <c r="AJ20" s="4333"/>
    </row>
    <row r="21" spans="19:36">
      <c r="S21" s="44"/>
      <c r="Y21" s="40" t="s">
        <v>1792</v>
      </c>
      <c r="Z21" s="40" t="s">
        <v>1792</v>
      </c>
      <c r="AA21" s="40"/>
      <c r="AB21" s="4335"/>
      <c r="AC21" s="4335"/>
      <c r="AD21" s="4335"/>
      <c r="AJ21" s="4336"/>
    </row>
    <row r="22" spans="19:36">
      <c r="S22" s="44" t="s">
        <v>1793</v>
      </c>
      <c r="Y22" s="314">
        <f>3235+11779+18359+21031-21031</f>
        <v>33373</v>
      </c>
      <c r="Z22" s="314">
        <f>4503+15132+19224+16441-16441</f>
        <v>38859</v>
      </c>
      <c r="AA22" s="314">
        <f>Y22-Z22</f>
        <v>-5486</v>
      </c>
      <c r="AB22" s="4270"/>
      <c r="AC22" s="4270"/>
      <c r="AD22" s="4270"/>
      <c r="AJ22" s="4273"/>
    </row>
    <row r="23" spans="19:36">
      <c r="S23" s="44" t="s">
        <v>1794</v>
      </c>
      <c r="Y23" s="314">
        <f>179+13428+16176+7399-7399</f>
        <v>29783</v>
      </c>
      <c r="Z23" s="314">
        <f>106+11259+10648+7528-7528</f>
        <v>22013</v>
      </c>
      <c r="AA23" s="314">
        <f>Y23-Z23</f>
        <v>7770</v>
      </c>
      <c r="AB23" s="4270"/>
      <c r="AC23" s="4270"/>
      <c r="AD23" s="4270"/>
      <c r="AJ23" s="4273"/>
    </row>
    <row r="24" spans="19:36">
      <c r="S24" s="44" t="s">
        <v>1795</v>
      </c>
      <c r="Y24" s="314">
        <f>1898+10289+9840+5650-5650</f>
        <v>22027</v>
      </c>
      <c r="Z24" s="314">
        <f>2293+9794+5132+4493-4493</f>
        <v>17219</v>
      </c>
      <c r="AA24" s="314">
        <f>Y24-Z24</f>
        <v>4808</v>
      </c>
      <c r="AB24" s="4270"/>
      <c r="AC24" s="4270"/>
      <c r="AD24" s="4270"/>
      <c r="AJ24" s="4273"/>
    </row>
    <row r="25" spans="19:36" ht="15" thickBot="1">
      <c r="S25" s="44" t="s">
        <v>1796</v>
      </c>
      <c r="Y25" s="4337">
        <f>6460+11036+9057+11311-11311</f>
        <v>26553</v>
      </c>
      <c r="Z25" s="4337">
        <f>6009+12935+13512+10832-10832</f>
        <v>32456</v>
      </c>
      <c r="AA25" s="4337">
        <f>Y25-Z25</f>
        <v>-5903</v>
      </c>
      <c r="AB25" s="4338"/>
      <c r="AC25" s="4338"/>
      <c r="AD25" s="4338"/>
      <c r="AE25" s="4337"/>
      <c r="AF25" s="4337"/>
      <c r="AG25" s="4337"/>
      <c r="AH25" s="4337"/>
      <c r="AI25" s="4337"/>
      <c r="AJ25" s="4339"/>
    </row>
    <row r="26" spans="19:36" ht="15" thickTop="1">
      <c r="S26" s="44"/>
      <c r="Y26" s="4340">
        <f>SUM(Y22:Y25)</f>
        <v>111736</v>
      </c>
      <c r="Z26" s="4340">
        <f>SUM(Z22:Z25)</f>
        <v>110547</v>
      </c>
      <c r="AA26" s="4340">
        <f>Y26-Z26</f>
        <v>1189</v>
      </c>
      <c r="AB26" s="4341">
        <f>SUM(AB22:AB25)</f>
        <v>0</v>
      </c>
      <c r="AC26" s="4341">
        <f>SUM(AC22:AC25)</f>
        <v>0</v>
      </c>
      <c r="AD26" s="4341">
        <f>AB26-AC26</f>
        <v>0</v>
      </c>
      <c r="AJ26" s="4342"/>
    </row>
    <row r="27" spans="19:36" ht="15" thickBot="1">
      <c r="S27" s="4225"/>
      <c r="T27" s="4226"/>
      <c r="U27" s="4226"/>
      <c r="V27" s="4226"/>
      <c r="W27" s="4343"/>
      <c r="X27" s="4343"/>
      <c r="Y27" s="4344" t="s">
        <v>1784</v>
      </c>
      <c r="Z27" s="4344"/>
      <c r="AA27" s="4344"/>
      <c r="AB27" s="4345"/>
      <c r="AC27" s="4345"/>
      <c r="AD27" s="4345"/>
      <c r="AE27" s="4343"/>
      <c r="AF27" s="4343"/>
      <c r="AG27" s="4343"/>
      <c r="AH27" s="4343"/>
      <c r="AI27" s="4343"/>
      <c r="AJ27" s="4346"/>
    </row>
    <row r="28" spans="19:36">
      <c r="W28" s="4340"/>
      <c r="X28" s="4340"/>
      <c r="Y28" s="4340"/>
      <c r="Z28" s="4340"/>
      <c r="AA28" s="4340"/>
      <c r="AB28" s="4340"/>
      <c r="AC28" s="4340"/>
      <c r="AD28" s="4340"/>
      <c r="AE28" s="4340"/>
      <c r="AF28" s="4340"/>
      <c r="AG28" s="4340"/>
      <c r="AH28" s="4340"/>
      <c r="AI28" s="4340"/>
      <c r="AJ28" s="4340"/>
    </row>
    <row r="30" spans="19:36" ht="14.4" customHeight="1"/>
    <row r="42" spans="9:15">
      <c r="I42" s="43"/>
      <c r="J42" s="43"/>
      <c r="K42" s="43"/>
      <c r="L42" s="43"/>
      <c r="M42" s="43"/>
      <c r="N42" s="43"/>
      <c r="O42" s="43"/>
    </row>
  </sheetData>
  <mergeCells count="42">
    <mergeCell ref="AB14:AD14"/>
    <mergeCell ref="AE14:AG14"/>
    <mergeCell ref="Y18:AA18"/>
    <mergeCell ref="AB18:AD18"/>
    <mergeCell ref="Y19:AA19"/>
    <mergeCell ref="AB19:AD19"/>
    <mergeCell ref="Y10:AA10"/>
    <mergeCell ref="AB10:AD10"/>
    <mergeCell ref="AE10:AG10"/>
    <mergeCell ref="I12:J12"/>
    <mergeCell ref="K12:L12"/>
    <mergeCell ref="T12:W12"/>
    <mergeCell ref="Y8:AA8"/>
    <mergeCell ref="AB8:AD8"/>
    <mergeCell ref="AE8:AG8"/>
    <mergeCell ref="Y9:AA9"/>
    <mergeCell ref="AB9:AD9"/>
    <mergeCell ref="AE9:AG9"/>
    <mergeCell ref="I7:J7"/>
    <mergeCell ref="K7:L7"/>
    <mergeCell ref="M7:N7"/>
    <mergeCell ref="Y7:AA7"/>
    <mergeCell ref="AB7:AD7"/>
    <mergeCell ref="AE7:AG7"/>
    <mergeCell ref="Y5:AA5"/>
    <mergeCell ref="AB5:AD5"/>
    <mergeCell ref="AE5:AG5"/>
    <mergeCell ref="Y6:AA6"/>
    <mergeCell ref="AB6:AD6"/>
    <mergeCell ref="AE6:AG6"/>
    <mergeCell ref="AE4:AG4"/>
    <mergeCell ref="I3:J3"/>
    <mergeCell ref="K3:L3"/>
    <mergeCell ref="M3:N3"/>
    <mergeCell ref="Y3:AA3"/>
    <mergeCell ref="AB3:AD3"/>
    <mergeCell ref="AE3:AG3"/>
    <mergeCell ref="I4:J4"/>
    <mergeCell ref="K4:L4"/>
    <mergeCell ref="M4:N4"/>
    <mergeCell ref="Y4:AA4"/>
    <mergeCell ref="AB4:AD4"/>
  </mergeCells>
  <pageMargins left="0.70866141732283472" right="0.70866141732283472" top="0.74803149606299213" bottom="0.74803149606299213" header="0.31496062992125984" footer="0.31496062992125984"/>
  <pageSetup paperSize="9" scale="41" orientation="landscape" verticalDpi="597"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45"/>
  <sheetViews>
    <sheetView showGridLines="0" zoomScale="70" zoomScaleNormal="70" workbookViewId="0">
      <pane xSplit="7" ySplit="5" topLeftCell="H72" activePane="bottomRight" state="frozen"/>
      <selection pane="topRight" activeCell="H1" sqref="H1"/>
      <selection pane="bottomLeft" activeCell="A6" sqref="A6"/>
      <selection pane="bottomRight" activeCell="B60" sqref="B60"/>
    </sheetView>
  </sheetViews>
  <sheetFormatPr baseColWidth="10" defaultColWidth="11.44140625" defaultRowHeight="14.4"/>
  <cols>
    <col min="1" max="1" width="4.33203125" style="709" bestFit="1" customWidth="1"/>
    <col min="2" max="2" width="52" style="1164" customWidth="1"/>
    <col min="3" max="3" width="14.88671875" style="709" hidden="1" customWidth="1"/>
    <col min="4" max="5" width="14.109375" style="709" hidden="1" customWidth="1"/>
    <col min="6" max="6" width="15.21875" style="709" hidden="1" customWidth="1"/>
    <col min="7" max="7" width="24.5546875" style="709" hidden="1" customWidth="1"/>
    <col min="8" max="8" width="20.77734375" style="1214" bestFit="1" customWidth="1"/>
    <col min="9" max="12" width="25.21875" style="1214" customWidth="1"/>
    <col min="13" max="13" width="47.33203125" style="1165" customWidth="1"/>
    <col min="14" max="14" width="2.33203125" style="162" customWidth="1"/>
    <col min="15" max="15" width="40.33203125" style="1172" customWidth="1"/>
    <col min="16" max="21" width="11.44140625" style="162"/>
    <col min="22" max="22" width="39.109375" style="1893" customWidth="1"/>
    <col min="23" max="23" width="48.6640625" style="1924" customWidth="1"/>
    <col min="24" max="24" width="17.5546875" style="1889" bestFit="1" customWidth="1"/>
    <col min="25" max="25" width="12.77734375" style="1889" bestFit="1" customWidth="1"/>
    <col min="26" max="26" width="45.88671875" style="1889" customWidth="1"/>
    <col min="27" max="27" width="23.109375" style="1889" bestFit="1" customWidth="1"/>
    <col min="28" max="16384" width="11.44140625" style="162"/>
  </cols>
  <sheetData>
    <row r="1" spans="1:27" ht="21">
      <c r="A1" s="5225" t="s">
        <v>173</v>
      </c>
      <c r="B1" s="5226"/>
      <c r="C1" s="5226"/>
      <c r="D1" s="5226"/>
      <c r="E1" s="5226"/>
      <c r="F1" s="5226"/>
      <c r="G1" s="5226"/>
      <c r="H1" s="5226"/>
      <c r="I1" s="5226"/>
      <c r="J1" s="5226"/>
      <c r="K1" s="5226"/>
      <c r="L1" s="5226"/>
      <c r="M1" s="5227"/>
      <c r="W1" s="1872"/>
      <c r="X1" s="1002"/>
      <c r="Y1" s="1002"/>
      <c r="Z1" s="1002"/>
      <c r="AA1" s="1002"/>
    </row>
    <row r="2" spans="1:27">
      <c r="A2" s="1231"/>
      <c r="B2" s="1189"/>
      <c r="C2" s="1188"/>
      <c r="D2" s="1188"/>
      <c r="E2" s="1188"/>
      <c r="F2" s="1188"/>
      <c r="G2" s="1188"/>
      <c r="H2" s="1239"/>
      <c r="I2" s="1239"/>
      <c r="J2" s="1239"/>
      <c r="K2" s="1239"/>
      <c r="L2" s="1239"/>
      <c r="M2" s="1240"/>
      <c r="V2" s="1568"/>
      <c r="W2" s="1878"/>
      <c r="X2" s="1018"/>
      <c r="Y2" s="1018"/>
      <c r="Z2" s="1018"/>
      <c r="AA2" s="1018"/>
    </row>
    <row r="3" spans="1:27" ht="63" customHeight="1">
      <c r="A3" s="5228" t="s">
        <v>898</v>
      </c>
      <c r="B3" s="5229"/>
      <c r="C3" s="5229"/>
      <c r="D3" s="5229"/>
      <c r="E3" s="5229"/>
      <c r="F3" s="5229"/>
      <c r="G3" s="5229"/>
      <c r="H3" s="5229"/>
      <c r="I3" s="5229"/>
      <c r="J3" s="5229"/>
      <c r="K3" s="5229"/>
      <c r="L3" s="5229"/>
      <c r="M3" s="5230"/>
      <c r="W3" s="1872"/>
      <c r="X3" s="1002"/>
      <c r="Y3" s="1002"/>
      <c r="Z3" s="1002"/>
      <c r="AA3" s="1002"/>
    </row>
    <row r="4" spans="1:27" ht="15" thickBot="1">
      <c r="A4" s="1231"/>
      <c r="B4" s="1189"/>
      <c r="C4" s="1188"/>
      <c r="D4" s="1188"/>
      <c r="E4" s="1188"/>
      <c r="F4" s="1188"/>
      <c r="G4" s="1188"/>
      <c r="H4" s="5170"/>
      <c r="I4" s="5170"/>
      <c r="J4" s="2165"/>
      <c r="K4" s="2381"/>
      <c r="L4" s="4742"/>
      <c r="M4" s="1240"/>
      <c r="V4" s="1568"/>
      <c r="W4" s="1872"/>
      <c r="X4" s="1002"/>
      <c r="Y4" s="1002"/>
      <c r="Z4" s="1002"/>
      <c r="AA4" s="1002"/>
    </row>
    <row r="5" spans="1:27" s="1166" customFormat="1" ht="35.4" customHeight="1" thickBot="1">
      <c r="A5" s="5244" t="s">
        <v>995</v>
      </c>
      <c r="B5" s="5245"/>
      <c r="C5" s="5245"/>
      <c r="D5" s="5245"/>
      <c r="E5" s="5245"/>
      <c r="F5" s="5245"/>
      <c r="G5" s="5246"/>
      <c r="H5" s="1254" t="s">
        <v>914</v>
      </c>
      <c r="I5" s="5267" t="s">
        <v>768</v>
      </c>
      <c r="J5" s="5268"/>
      <c r="K5" s="5268"/>
      <c r="L5" s="5269"/>
      <c r="M5" s="2232" t="s">
        <v>582</v>
      </c>
      <c r="O5" s="3791"/>
      <c r="V5" s="1894"/>
      <c r="W5" s="1868" t="s">
        <v>1181</v>
      </c>
      <c r="X5" s="1868" t="s">
        <v>1142</v>
      </c>
      <c r="Y5" s="1868" t="s">
        <v>1138</v>
      </c>
      <c r="Z5" s="1868" t="s">
        <v>1147</v>
      </c>
      <c r="AA5" s="1868" t="s">
        <v>1139</v>
      </c>
    </row>
    <row r="6" spans="1:27" ht="17.399999999999999" customHeight="1">
      <c r="A6" s="5168" t="s">
        <v>985</v>
      </c>
      <c r="B6" s="5247" t="s">
        <v>919</v>
      </c>
      <c r="C6" s="5247"/>
      <c r="D6" s="5247"/>
      <c r="E6" s="5247"/>
      <c r="F6" s="5247"/>
      <c r="G6" s="5248"/>
      <c r="H6" s="5183">
        <v>283561</v>
      </c>
      <c r="I6" s="5261">
        <v>4230.74</v>
      </c>
      <c r="J6" s="5262"/>
      <c r="K6" s="5262"/>
      <c r="L6" s="5263"/>
      <c r="M6" s="1227" t="s">
        <v>1036</v>
      </c>
      <c r="O6" s="5254" t="s">
        <v>1038</v>
      </c>
      <c r="P6" s="5254"/>
      <c r="Q6" s="5254"/>
      <c r="R6" s="5254"/>
      <c r="S6" s="5254"/>
      <c r="T6" s="5254"/>
      <c r="V6" s="5216" t="s">
        <v>919</v>
      </c>
      <c r="W6" s="1912" t="s">
        <v>1141</v>
      </c>
      <c r="X6" s="1873" t="s">
        <v>1143</v>
      </c>
      <c r="Y6" s="1873" t="s">
        <v>1140</v>
      </c>
      <c r="Z6" s="1873"/>
      <c r="AA6" s="1873"/>
    </row>
    <row r="7" spans="1:27" ht="17.399999999999999" customHeight="1">
      <c r="A7" s="5168"/>
      <c r="B7" s="5249"/>
      <c r="C7" s="5249"/>
      <c r="D7" s="5249"/>
      <c r="E7" s="5249"/>
      <c r="F7" s="5249"/>
      <c r="G7" s="5250"/>
      <c r="H7" s="5184"/>
      <c r="I7" s="5264">
        <f>I6*9%</f>
        <v>380.76659999999998</v>
      </c>
      <c r="J7" s="5265"/>
      <c r="K7" s="5265"/>
      <c r="L7" s="5266"/>
      <c r="M7" s="5255" t="s">
        <v>917</v>
      </c>
      <c r="O7" s="5254" t="s">
        <v>1038</v>
      </c>
      <c r="P7" s="5254"/>
      <c r="Q7" s="5254"/>
      <c r="R7" s="5254"/>
      <c r="S7" s="5254"/>
      <c r="T7" s="5254"/>
      <c r="V7" s="5217"/>
      <c r="W7" s="1903" t="s">
        <v>1144</v>
      </c>
      <c r="X7" s="1869" t="s">
        <v>1143</v>
      </c>
      <c r="Y7" s="1869" t="s">
        <v>1140</v>
      </c>
      <c r="Z7" s="1869"/>
      <c r="AA7" s="1869"/>
    </row>
    <row r="8" spans="1:27" ht="14.4" customHeight="1">
      <c r="A8" s="5169"/>
      <c r="B8" s="5196"/>
      <c r="C8" s="5196"/>
      <c r="D8" s="5196"/>
      <c r="E8" s="5196"/>
      <c r="F8" s="5196"/>
      <c r="G8" s="5197"/>
      <c r="H8" s="5185"/>
      <c r="I8" s="5270" t="s">
        <v>1014</v>
      </c>
      <c r="J8" s="5271"/>
      <c r="K8" s="5271"/>
      <c r="L8" s="5272"/>
      <c r="M8" s="5256"/>
      <c r="P8" s="1172"/>
      <c r="Q8" s="1172"/>
      <c r="R8" s="1172"/>
      <c r="S8" s="1172"/>
      <c r="T8" s="1172"/>
      <c r="V8" s="5218"/>
      <c r="W8" s="1903" t="s">
        <v>1148</v>
      </c>
      <c r="X8" s="1869" t="s">
        <v>33</v>
      </c>
      <c r="Y8" s="1869" t="s">
        <v>1140</v>
      </c>
      <c r="Z8" s="1869"/>
      <c r="AA8" s="1869"/>
    </row>
    <row r="9" spans="1:27" ht="28.95" customHeight="1">
      <c r="A9" s="1819" t="s">
        <v>986</v>
      </c>
      <c r="B9" s="5198" t="s">
        <v>915</v>
      </c>
      <c r="C9" s="5198"/>
      <c r="D9" s="5198"/>
      <c r="E9" s="5198"/>
      <c r="F9" s="5198"/>
      <c r="G9" s="5199"/>
      <c r="H9" s="1255">
        <v>17511000</v>
      </c>
      <c r="I9" s="5273">
        <f>[3]RESUMEN!$V$6</f>
        <v>2786115</v>
      </c>
      <c r="J9" s="5274"/>
      <c r="K9" s="5274"/>
      <c r="L9" s="5275"/>
      <c r="M9" s="1225" t="s">
        <v>994</v>
      </c>
      <c r="O9" s="5254" t="s">
        <v>1469</v>
      </c>
      <c r="P9" s="5254"/>
      <c r="Q9" s="5254"/>
      <c r="R9" s="5254"/>
      <c r="S9" s="5254"/>
      <c r="T9" s="5254"/>
      <c r="V9" s="1899" t="s">
        <v>915</v>
      </c>
      <c r="W9" s="1903" t="s">
        <v>994</v>
      </c>
      <c r="X9" s="1869" t="s">
        <v>1145</v>
      </c>
      <c r="Y9" s="1869" t="s">
        <v>1146</v>
      </c>
      <c r="Z9" s="1869" t="s">
        <v>1168</v>
      </c>
      <c r="AA9" s="1869" t="s">
        <v>1149</v>
      </c>
    </row>
    <row r="10" spans="1:27">
      <c r="A10" s="5176" t="s">
        <v>585</v>
      </c>
      <c r="B10" s="5177" t="s">
        <v>992</v>
      </c>
      <c r="C10" s="5177"/>
      <c r="D10" s="5177"/>
      <c r="E10" s="5177"/>
      <c r="F10" s="5177"/>
      <c r="G10" s="5177"/>
      <c r="I10" s="5259" t="s">
        <v>1015</v>
      </c>
      <c r="J10" s="5260"/>
      <c r="K10" s="4751"/>
      <c r="L10" s="4751"/>
      <c r="M10" s="1226"/>
      <c r="Q10" s="1172"/>
      <c r="R10" s="1172"/>
      <c r="S10" s="1172"/>
      <c r="T10" s="1172"/>
      <c r="W10" s="1872"/>
      <c r="X10" s="1002"/>
      <c r="Y10" s="1002"/>
      <c r="Z10" s="1002"/>
      <c r="AA10" s="1002"/>
    </row>
    <row r="11" spans="1:27">
      <c r="A11" s="5168"/>
      <c r="B11" s="5178"/>
      <c r="C11" s="5178"/>
      <c r="D11" s="5178"/>
      <c r="E11" s="5178"/>
      <c r="F11" s="5178"/>
      <c r="G11" s="5178"/>
      <c r="I11" s="5200" t="s">
        <v>1016</v>
      </c>
      <c r="J11" s="5200"/>
      <c r="K11" s="5200"/>
      <c r="L11" s="1890">
        <v>0.2</v>
      </c>
      <c r="M11" s="5206" t="s">
        <v>1025</v>
      </c>
      <c r="O11" s="5308" t="s">
        <v>1000</v>
      </c>
      <c r="P11" s="5311" t="s">
        <v>1002</v>
      </c>
      <c r="Q11" s="5314" t="s">
        <v>999</v>
      </c>
      <c r="R11" s="5315"/>
      <c r="S11" s="5315"/>
      <c r="T11" s="5316"/>
      <c r="V11" s="5219" t="s">
        <v>1173</v>
      </c>
      <c r="W11" s="1870" t="s">
        <v>1150</v>
      </c>
      <c r="X11" s="1892" t="s">
        <v>33</v>
      </c>
      <c r="Y11" s="1892" t="s">
        <v>1146</v>
      </c>
      <c r="Z11" s="5222" t="s">
        <v>1169</v>
      </c>
      <c r="AA11" s="5213" t="s">
        <v>1149</v>
      </c>
    </row>
    <row r="12" spans="1:27">
      <c r="A12" s="5168"/>
      <c r="B12" s="5178"/>
      <c r="C12" s="5178"/>
      <c r="D12" s="5178"/>
      <c r="E12" s="5178"/>
      <c r="F12" s="5178"/>
      <c r="G12" s="5178"/>
      <c r="I12" s="5200" t="s">
        <v>1017</v>
      </c>
      <c r="J12" s="5200"/>
      <c r="K12" s="5200"/>
      <c r="L12" s="1890">
        <v>0.17799999999999999</v>
      </c>
      <c r="M12" s="5207"/>
      <c r="O12" s="5309"/>
      <c r="P12" s="5312"/>
      <c r="Q12" s="5317"/>
      <c r="R12" s="5318"/>
      <c r="S12" s="5318"/>
      <c r="T12" s="5319"/>
      <c r="V12" s="5217"/>
      <c r="W12" s="1870" t="s">
        <v>1151</v>
      </c>
      <c r="X12" s="1892" t="s">
        <v>33</v>
      </c>
      <c r="Y12" s="1892" t="s">
        <v>1146</v>
      </c>
      <c r="Z12" s="5223"/>
      <c r="AA12" s="5214"/>
    </row>
    <row r="13" spans="1:27" ht="14.4" customHeight="1">
      <c r="A13" s="5168"/>
      <c r="B13" s="5178"/>
      <c r="C13" s="5178"/>
      <c r="D13" s="5178"/>
      <c r="E13" s="5178"/>
      <c r="F13" s="5178"/>
      <c r="G13" s="5178"/>
      <c r="I13" s="5200" t="s">
        <v>1018</v>
      </c>
      <c r="J13" s="5200"/>
      <c r="K13" s="5200"/>
      <c r="L13" s="1890">
        <v>0.16</v>
      </c>
      <c r="M13" s="5207"/>
      <c r="O13" s="5309"/>
      <c r="P13" s="5312"/>
      <c r="Q13" s="5317"/>
      <c r="R13" s="5318"/>
      <c r="S13" s="5318"/>
      <c r="T13" s="5319"/>
      <c r="V13" s="5217"/>
      <c r="W13" s="1870" t="s">
        <v>1152</v>
      </c>
      <c r="X13" s="1892" t="s">
        <v>33</v>
      </c>
      <c r="Y13" s="1892" t="s">
        <v>1146</v>
      </c>
      <c r="Z13" s="5223"/>
      <c r="AA13" s="5214"/>
    </row>
    <row r="14" spans="1:27">
      <c r="A14" s="5168"/>
      <c r="B14" s="5178"/>
      <c r="C14" s="5178"/>
      <c r="D14" s="5178"/>
      <c r="E14" s="5178"/>
      <c r="F14" s="5178"/>
      <c r="G14" s="5178"/>
      <c r="I14" s="5200" t="s">
        <v>1019</v>
      </c>
      <c r="J14" s="5200"/>
      <c r="K14" s="5200"/>
      <c r="L14" s="1890">
        <v>0.107</v>
      </c>
      <c r="M14" s="5207"/>
      <c r="O14" s="5309"/>
      <c r="P14" s="5312"/>
      <c r="Q14" s="5317"/>
      <c r="R14" s="5318"/>
      <c r="S14" s="5318"/>
      <c r="T14" s="5319"/>
      <c r="V14" s="5217"/>
      <c r="W14" s="1870" t="s">
        <v>1153</v>
      </c>
      <c r="X14" s="1892" t="s">
        <v>33</v>
      </c>
      <c r="Y14" s="1892" t="s">
        <v>1146</v>
      </c>
      <c r="Z14" s="5223"/>
      <c r="AA14" s="5214"/>
    </row>
    <row r="15" spans="1:27" ht="14.4" customHeight="1">
      <c r="A15" s="5168"/>
      <c r="B15" s="5178"/>
      <c r="C15" s="5178"/>
      <c r="D15" s="5178"/>
      <c r="E15" s="5178"/>
      <c r="F15" s="5178"/>
      <c r="G15" s="5178"/>
      <c r="I15" s="5200" t="s">
        <v>1020</v>
      </c>
      <c r="J15" s="5200"/>
      <c r="K15" s="5200"/>
      <c r="L15" s="1890">
        <v>6.8000000000000005E-2</v>
      </c>
      <c r="M15" s="5207"/>
      <c r="O15" s="5309"/>
      <c r="P15" s="5312"/>
      <c r="Q15" s="5317"/>
      <c r="R15" s="5318"/>
      <c r="S15" s="5318"/>
      <c r="T15" s="5319"/>
      <c r="V15" s="5217"/>
      <c r="W15" s="1870" t="s">
        <v>1154</v>
      </c>
      <c r="X15" s="1892" t="s">
        <v>33</v>
      </c>
      <c r="Y15" s="1892" t="s">
        <v>1146</v>
      </c>
      <c r="Z15" s="5223"/>
      <c r="AA15" s="5214"/>
    </row>
    <row r="16" spans="1:27">
      <c r="A16" s="5168"/>
      <c r="B16" s="5178"/>
      <c r="C16" s="5178"/>
      <c r="D16" s="5178"/>
      <c r="E16" s="5178"/>
      <c r="F16" s="5178"/>
      <c r="G16" s="5178"/>
      <c r="I16" s="5200" t="s">
        <v>1021</v>
      </c>
      <c r="J16" s="5200"/>
      <c r="K16" s="5200"/>
      <c r="L16" s="1891">
        <v>6.4000000000000001E-2</v>
      </c>
      <c r="M16" s="5207"/>
      <c r="O16" s="5309"/>
      <c r="P16" s="5312"/>
      <c r="Q16" s="5317"/>
      <c r="R16" s="5318"/>
      <c r="S16" s="5318"/>
      <c r="T16" s="5319"/>
      <c r="V16" s="5217"/>
      <c r="W16" s="1871" t="s">
        <v>1155</v>
      </c>
      <c r="X16" s="1892" t="s">
        <v>33</v>
      </c>
      <c r="Y16" s="1892" t="s">
        <v>1146</v>
      </c>
      <c r="Z16" s="5223"/>
      <c r="AA16" s="5214"/>
    </row>
    <row r="17" spans="1:27" ht="14.4" customHeight="1">
      <c r="A17" s="5168"/>
      <c r="B17" s="5178"/>
      <c r="C17" s="5178"/>
      <c r="D17" s="5178"/>
      <c r="E17" s="5178"/>
      <c r="F17" s="5178"/>
      <c r="G17" s="5178"/>
      <c r="I17" s="5200" t="s">
        <v>1022</v>
      </c>
      <c r="J17" s="5200"/>
      <c r="K17" s="5200"/>
      <c r="L17" s="1890">
        <v>6.2E-2</v>
      </c>
      <c r="M17" s="5207"/>
      <c r="O17" s="5309"/>
      <c r="P17" s="5312"/>
      <c r="Q17" s="5317"/>
      <c r="R17" s="5318"/>
      <c r="S17" s="5318"/>
      <c r="T17" s="5319"/>
      <c r="V17" s="5217"/>
      <c r="W17" s="1870" t="s">
        <v>1156</v>
      </c>
      <c r="X17" s="1892" t="s">
        <v>33</v>
      </c>
      <c r="Y17" s="1892" t="s">
        <v>1146</v>
      </c>
      <c r="Z17" s="5223"/>
      <c r="AA17" s="5214"/>
    </row>
    <row r="18" spans="1:27">
      <c r="A18" s="5168"/>
      <c r="B18" s="5178"/>
      <c r="C18" s="5178"/>
      <c r="D18" s="5178"/>
      <c r="E18" s="5178"/>
      <c r="F18" s="5178"/>
      <c r="G18" s="5178"/>
      <c r="I18" s="5200" t="s">
        <v>1023</v>
      </c>
      <c r="J18" s="5200"/>
      <c r="K18" s="5200"/>
      <c r="L18" s="1890">
        <v>3.5999999999999997E-2</v>
      </c>
      <c r="M18" s="5207"/>
      <c r="O18" s="5309"/>
      <c r="P18" s="5312"/>
      <c r="Q18" s="5317"/>
      <c r="R18" s="5318"/>
      <c r="S18" s="5318"/>
      <c r="T18" s="5319"/>
      <c r="V18" s="5217"/>
      <c r="W18" s="1870" t="s">
        <v>1157</v>
      </c>
      <c r="X18" s="1892" t="s">
        <v>33</v>
      </c>
      <c r="Y18" s="1892" t="s">
        <v>1146</v>
      </c>
      <c r="Z18" s="5223"/>
      <c r="AA18" s="5214"/>
    </row>
    <row r="19" spans="1:27">
      <c r="A19" s="5168"/>
      <c r="B19" s="5178"/>
      <c r="C19" s="5178"/>
      <c r="D19" s="5178"/>
      <c r="E19" s="5178"/>
      <c r="F19" s="5178"/>
      <c r="G19" s="5178"/>
      <c r="I19" s="5200" t="s">
        <v>1024</v>
      </c>
      <c r="J19" s="5200"/>
      <c r="K19" s="5200"/>
      <c r="L19" s="1890">
        <v>3.1E-2</v>
      </c>
      <c r="M19" s="5207"/>
      <c r="O19" s="5309"/>
      <c r="P19" s="5312"/>
      <c r="Q19" s="5317"/>
      <c r="R19" s="5318"/>
      <c r="S19" s="5318"/>
      <c r="T19" s="5319"/>
      <c r="V19" s="5217"/>
      <c r="W19" s="1870" t="s">
        <v>1158</v>
      </c>
      <c r="X19" s="1892" t="s">
        <v>33</v>
      </c>
      <c r="Y19" s="1892" t="s">
        <v>1146</v>
      </c>
      <c r="Z19" s="5223"/>
      <c r="AA19" s="5214"/>
    </row>
    <row r="20" spans="1:27">
      <c r="A20" s="5168"/>
      <c r="B20" s="5178"/>
      <c r="C20" s="5178"/>
      <c r="D20" s="5178"/>
      <c r="E20" s="5178"/>
      <c r="F20" s="5178"/>
      <c r="G20" s="5178"/>
      <c r="I20" s="5200" t="s">
        <v>1349</v>
      </c>
      <c r="J20" s="5200"/>
      <c r="K20" s="5200"/>
      <c r="L20" s="1890"/>
      <c r="M20" s="5207"/>
      <c r="O20" s="5309"/>
      <c r="P20" s="5312"/>
      <c r="Q20" s="5317"/>
      <c r="R20" s="5318"/>
      <c r="S20" s="5318"/>
      <c r="T20" s="5319"/>
      <c r="V20" s="5217"/>
      <c r="W20" s="1870"/>
      <c r="X20" s="1892"/>
      <c r="Y20" s="1892"/>
      <c r="Z20" s="5223"/>
      <c r="AA20" s="5214"/>
    </row>
    <row r="21" spans="1:27" ht="14.4" customHeight="1">
      <c r="A21" s="5168"/>
      <c r="B21" s="5178"/>
      <c r="C21" s="5178"/>
      <c r="D21" s="5178"/>
      <c r="E21" s="5178"/>
      <c r="F21" s="5178"/>
      <c r="G21" s="5178"/>
      <c r="I21" s="5200" t="s">
        <v>1350</v>
      </c>
      <c r="J21" s="5200"/>
      <c r="K21" s="5200"/>
      <c r="L21" s="1890">
        <v>2.4E-2</v>
      </c>
      <c r="M21" s="5207"/>
      <c r="O21" s="5309"/>
      <c r="P21" s="5312"/>
      <c r="Q21" s="5317"/>
      <c r="R21" s="5318"/>
      <c r="S21" s="5318"/>
      <c r="T21" s="5319"/>
      <c r="V21" s="5217"/>
      <c r="W21" s="1870" t="s">
        <v>1159</v>
      </c>
      <c r="X21" s="1892" t="s">
        <v>33</v>
      </c>
      <c r="Y21" s="1892" t="s">
        <v>1146</v>
      </c>
      <c r="Z21" s="5223"/>
      <c r="AA21" s="5214"/>
    </row>
    <row r="22" spans="1:27" ht="14.4" customHeight="1">
      <c r="A22" s="5168"/>
      <c r="B22" s="5178"/>
      <c r="C22" s="5178"/>
      <c r="D22" s="5178"/>
      <c r="E22" s="5178"/>
      <c r="F22" s="5178"/>
      <c r="G22" s="5178"/>
      <c r="I22" s="5200" t="s">
        <v>1351</v>
      </c>
      <c r="J22" s="5200"/>
      <c r="K22" s="5200"/>
      <c r="L22" s="1891">
        <v>1.7000000000000001E-2</v>
      </c>
      <c r="M22" s="5207"/>
      <c r="O22" s="5309"/>
      <c r="P22" s="5312"/>
      <c r="Q22" s="5317"/>
      <c r="R22" s="5318"/>
      <c r="S22" s="5318"/>
      <c r="T22" s="5319"/>
      <c r="V22" s="5217"/>
      <c r="W22" s="1871" t="s">
        <v>1160</v>
      </c>
      <c r="X22" s="1892" t="s">
        <v>33</v>
      </c>
      <c r="Y22" s="1892" t="s">
        <v>1146</v>
      </c>
      <c r="Z22" s="5223"/>
      <c r="AA22" s="5214"/>
    </row>
    <row r="23" spans="1:27" ht="14.4" customHeight="1">
      <c r="A23" s="5168"/>
      <c r="B23" s="5178"/>
      <c r="C23" s="5178"/>
      <c r="D23" s="5178"/>
      <c r="E23" s="5178"/>
      <c r="F23" s="5178"/>
      <c r="G23" s="5178"/>
      <c r="I23" s="5200" t="s">
        <v>1352</v>
      </c>
      <c r="J23" s="5200"/>
      <c r="K23" s="5200"/>
      <c r="L23" s="1890">
        <v>1.4E-2</v>
      </c>
      <c r="M23" s="5207"/>
      <c r="O23" s="5309"/>
      <c r="P23" s="5312"/>
      <c r="Q23" s="5317"/>
      <c r="R23" s="5318"/>
      <c r="S23" s="5318"/>
      <c r="T23" s="5319"/>
      <c r="V23" s="5217"/>
      <c r="W23" s="1870" t="s">
        <v>1161</v>
      </c>
      <c r="X23" s="1892" t="s">
        <v>33</v>
      </c>
      <c r="Y23" s="1892" t="s">
        <v>1146</v>
      </c>
      <c r="Z23" s="5223"/>
      <c r="AA23" s="5214"/>
    </row>
    <row r="24" spans="1:27" ht="14.4" customHeight="1">
      <c r="A24" s="5169"/>
      <c r="B24" s="5179"/>
      <c r="C24" s="5179"/>
      <c r="D24" s="5179"/>
      <c r="E24" s="5179"/>
      <c r="F24" s="5179"/>
      <c r="G24" s="5179"/>
      <c r="I24" s="5200" t="s">
        <v>1353</v>
      </c>
      <c r="J24" s="5200"/>
      <c r="K24" s="5200"/>
      <c r="L24" s="1890">
        <v>5.0000000000000001E-3</v>
      </c>
      <c r="M24" s="5208"/>
      <c r="O24" s="5310"/>
      <c r="P24" s="5313"/>
      <c r="Q24" s="5320"/>
      <c r="R24" s="5321"/>
      <c r="S24" s="5321"/>
      <c r="T24" s="5322"/>
      <c r="V24" s="5218"/>
      <c r="W24" s="1870" t="s">
        <v>1162</v>
      </c>
      <c r="X24" s="1892" t="s">
        <v>33</v>
      </c>
      <c r="Y24" s="1892" t="s">
        <v>1146</v>
      </c>
      <c r="Z24" s="5224"/>
      <c r="AA24" s="5215"/>
    </row>
    <row r="25" spans="1:27" ht="27.6">
      <c r="A25" s="1820" t="s">
        <v>987</v>
      </c>
      <c r="B25" s="5198" t="s">
        <v>997</v>
      </c>
      <c r="C25" s="5198"/>
      <c r="D25" s="5198"/>
      <c r="E25" s="5198"/>
      <c r="F25" s="5198"/>
      <c r="G25" s="5199"/>
      <c r="H25" s="2252">
        <v>108108009</v>
      </c>
      <c r="L25" s="4756">
        <v>25032606.081425533</v>
      </c>
      <c r="M25" s="1227" t="s">
        <v>1591</v>
      </c>
      <c r="O25" s="3767" t="s">
        <v>1592</v>
      </c>
      <c r="P25" s="1174" t="s">
        <v>1002</v>
      </c>
      <c r="Q25" s="5233" t="s">
        <v>999</v>
      </c>
      <c r="R25" s="5233"/>
      <c r="S25" s="5233"/>
      <c r="T25" s="5233"/>
      <c r="V25" s="1899" t="s">
        <v>997</v>
      </c>
      <c r="W25" s="1903" t="s">
        <v>1164</v>
      </c>
      <c r="X25" s="1869" t="s">
        <v>1163</v>
      </c>
      <c r="Y25" s="1869" t="s">
        <v>1146</v>
      </c>
      <c r="Z25" s="1869" t="s">
        <v>1167</v>
      </c>
      <c r="AA25" s="1869" t="s">
        <v>1149</v>
      </c>
    </row>
    <row r="26" spans="1:27" s="428" customFormat="1">
      <c r="A26" s="5176" t="s">
        <v>988</v>
      </c>
      <c r="B26" s="5194" t="s">
        <v>998</v>
      </c>
      <c r="C26" s="5194"/>
      <c r="D26" s="5194"/>
      <c r="E26" s="5194"/>
      <c r="F26" s="5194"/>
      <c r="G26" s="5195"/>
      <c r="H26" s="3765" t="s">
        <v>1589</v>
      </c>
      <c r="L26" s="1257">
        <f>L25*L27</f>
        <v>750978.18244276592</v>
      </c>
      <c r="M26" s="1225" t="s">
        <v>996</v>
      </c>
      <c r="O26" s="3792"/>
      <c r="V26" s="5219" t="s">
        <v>998</v>
      </c>
      <c r="W26" s="1903" t="s">
        <v>1165</v>
      </c>
      <c r="X26" s="1869" t="s">
        <v>1163</v>
      </c>
      <c r="Y26" s="5210" t="s">
        <v>1146</v>
      </c>
      <c r="Z26" s="5210" t="s">
        <v>1167</v>
      </c>
      <c r="AA26" s="5210" t="s">
        <v>1149</v>
      </c>
    </row>
    <row r="27" spans="1:27" ht="24.6" customHeight="1">
      <c r="A27" s="5169"/>
      <c r="B27" s="5196"/>
      <c r="C27" s="5196"/>
      <c r="D27" s="5196"/>
      <c r="E27" s="5196"/>
      <c r="F27" s="5196"/>
      <c r="G27" s="5197"/>
      <c r="H27" s="2253">
        <v>1.2E-2</v>
      </c>
      <c r="L27" s="1258">
        <v>0.03</v>
      </c>
      <c r="M27" s="1225" t="s">
        <v>1047</v>
      </c>
      <c r="O27" s="3767" t="s">
        <v>1006</v>
      </c>
      <c r="P27" s="1174" t="s">
        <v>9</v>
      </c>
      <c r="Q27" s="5234" t="s">
        <v>1496</v>
      </c>
      <c r="R27" s="5233"/>
      <c r="S27" s="5233"/>
      <c r="T27" s="5233"/>
      <c r="V27" s="5218"/>
      <c r="W27" s="1903" t="s">
        <v>1166</v>
      </c>
      <c r="X27" s="1875" t="s">
        <v>33</v>
      </c>
      <c r="Y27" s="5212"/>
      <c r="Z27" s="5212"/>
      <c r="AA27" s="5212"/>
    </row>
    <row r="28" spans="1:27" s="428" customFormat="1" ht="27.6">
      <c r="A28" s="5243" t="s">
        <v>989</v>
      </c>
      <c r="B28" s="5198" t="s">
        <v>916</v>
      </c>
      <c r="C28" s="5198"/>
      <c r="D28" s="5198"/>
      <c r="E28" s="5198"/>
      <c r="F28" s="5198"/>
      <c r="G28" s="5199"/>
      <c r="H28" s="2254" t="s">
        <v>1590</v>
      </c>
      <c r="L28" s="2863">
        <f>L29+L30</f>
        <v>30675</v>
      </c>
      <c r="M28" s="5255" t="s">
        <v>1494</v>
      </c>
      <c r="O28" s="5235" t="s">
        <v>1593</v>
      </c>
      <c r="P28" s="5235"/>
      <c r="Q28" s="2864" t="s">
        <v>1496</v>
      </c>
      <c r="R28" s="1175"/>
      <c r="S28" s="1175"/>
      <c r="T28" s="1175"/>
      <c r="V28" s="5220" t="s">
        <v>916</v>
      </c>
      <c r="W28" s="1903" t="s">
        <v>1182</v>
      </c>
      <c r="X28" s="1869" t="s">
        <v>1170</v>
      </c>
      <c r="Y28" s="5210" t="s">
        <v>1146</v>
      </c>
      <c r="Z28" s="5210" t="s">
        <v>1168</v>
      </c>
      <c r="AA28" s="5210" t="s">
        <v>1174</v>
      </c>
    </row>
    <row r="29" spans="1:27" ht="14.4" customHeight="1">
      <c r="A29" s="5174"/>
      <c r="B29" s="5257" t="s">
        <v>465</v>
      </c>
      <c r="C29" s="5257"/>
      <c r="D29" s="5257"/>
      <c r="E29" s="5257"/>
      <c r="F29" s="5257"/>
      <c r="G29" s="5258"/>
      <c r="H29" s="5242" t="s">
        <v>1035</v>
      </c>
      <c r="L29" s="2472">
        <f>EMPLEO_tur_DMQ!F11</f>
        <v>14048</v>
      </c>
      <c r="M29" s="5307"/>
      <c r="O29" s="5288" t="s">
        <v>1495</v>
      </c>
      <c r="P29" s="5289"/>
      <c r="Q29" s="5289"/>
      <c r="R29" s="5289"/>
      <c r="S29" s="5289"/>
      <c r="T29" s="5290"/>
      <c r="V29" s="5303"/>
      <c r="W29" s="1874" t="s">
        <v>465</v>
      </c>
      <c r="X29" s="1869" t="s">
        <v>1171</v>
      </c>
      <c r="Y29" s="5211"/>
      <c r="Z29" s="5211"/>
      <c r="AA29" s="5211"/>
    </row>
    <row r="30" spans="1:27" ht="17.399999999999999" customHeight="1">
      <c r="A30" s="5174"/>
      <c r="B30" s="5231" t="s">
        <v>466</v>
      </c>
      <c r="C30" s="5231"/>
      <c r="D30" s="5231"/>
      <c r="E30" s="5231"/>
      <c r="F30" s="5231"/>
      <c r="G30" s="5232"/>
      <c r="H30" s="5242"/>
      <c r="L30" s="2472">
        <f>EMPLEO_tur_DMQ!G11</f>
        <v>16627</v>
      </c>
      <c r="M30" s="5307"/>
      <c r="O30" s="5291"/>
      <c r="P30" s="5292"/>
      <c r="Q30" s="5292"/>
      <c r="R30" s="5292"/>
      <c r="S30" s="5292"/>
      <c r="T30" s="5293"/>
      <c r="V30" s="5303"/>
      <c r="W30" s="1874" t="s">
        <v>466</v>
      </c>
      <c r="X30" s="1869" t="s">
        <v>1172</v>
      </c>
      <c r="Y30" s="5211"/>
      <c r="Z30" s="5211"/>
      <c r="AA30" s="5211"/>
    </row>
    <row r="31" spans="1:27" ht="18">
      <c r="A31" s="5174"/>
      <c r="B31" s="5180" t="s">
        <v>1125</v>
      </c>
      <c r="C31" s="1186"/>
      <c r="D31" s="1186"/>
      <c r="E31" s="1186"/>
      <c r="F31" s="1186"/>
      <c r="I31" s="5201" t="s">
        <v>32</v>
      </c>
      <c r="J31" s="5201"/>
      <c r="K31" s="5201"/>
      <c r="L31" s="2862">
        <f>EMPLEO_tur_DMQ!H33</f>
        <v>7152</v>
      </c>
      <c r="M31" s="5307"/>
      <c r="O31" s="5291"/>
      <c r="P31" s="5292"/>
      <c r="Q31" s="5292"/>
      <c r="R31" s="5292"/>
      <c r="S31" s="5292"/>
      <c r="T31" s="5293"/>
      <c r="V31" s="5303"/>
      <c r="W31" s="1855" t="s">
        <v>1175</v>
      </c>
      <c r="X31" s="1869" t="s">
        <v>1170</v>
      </c>
      <c r="Y31" s="5211"/>
      <c r="Z31" s="5211"/>
      <c r="AA31" s="5211"/>
    </row>
    <row r="32" spans="1:27" ht="17.399999999999999" customHeight="1">
      <c r="A32" s="5174"/>
      <c r="B32" s="5181"/>
      <c r="C32" s="1186"/>
      <c r="D32" s="1186"/>
      <c r="E32" s="1186"/>
      <c r="F32" s="1186"/>
      <c r="I32" s="5209" t="s">
        <v>465</v>
      </c>
      <c r="J32" s="5209"/>
      <c r="K32" s="5209"/>
      <c r="L32" s="2822">
        <f>EMPLEO_tur_DMQ!F33</f>
        <v>3055</v>
      </c>
      <c r="M32" s="5307"/>
      <c r="O32" s="5291"/>
      <c r="P32" s="5292"/>
      <c r="Q32" s="5292"/>
      <c r="R32" s="5292"/>
      <c r="S32" s="5292"/>
      <c r="T32" s="5293"/>
      <c r="V32" s="5303"/>
      <c r="W32" s="1874" t="s">
        <v>465</v>
      </c>
      <c r="X32" s="1869" t="s">
        <v>1171</v>
      </c>
      <c r="Y32" s="5211"/>
      <c r="Z32" s="5211"/>
      <c r="AA32" s="5211"/>
    </row>
    <row r="33" spans="1:27" ht="17.399999999999999" customHeight="1">
      <c r="A33" s="5174"/>
      <c r="B33" s="5182"/>
      <c r="C33" s="1186"/>
      <c r="D33" s="1186"/>
      <c r="E33" s="1186"/>
      <c r="F33" s="1186"/>
      <c r="I33" s="5209" t="s">
        <v>466</v>
      </c>
      <c r="J33" s="5209"/>
      <c r="K33" s="5209"/>
      <c r="L33" s="2822">
        <f>EMPLEO_tur_DMQ!G33</f>
        <v>4097</v>
      </c>
      <c r="M33" s="5307"/>
      <c r="O33" s="5291"/>
      <c r="P33" s="5292"/>
      <c r="Q33" s="5292"/>
      <c r="R33" s="5292"/>
      <c r="S33" s="5292"/>
      <c r="T33" s="5293"/>
      <c r="V33" s="5303"/>
      <c r="W33" s="1874" t="s">
        <v>466</v>
      </c>
      <c r="X33" s="1869" t="s">
        <v>1172</v>
      </c>
      <c r="Y33" s="5211"/>
      <c r="Z33" s="5211"/>
      <c r="AA33" s="5211"/>
    </row>
    <row r="34" spans="1:27" ht="18">
      <c r="A34" s="5174"/>
      <c r="B34" s="5180" t="s">
        <v>1126</v>
      </c>
      <c r="C34" s="1186"/>
      <c r="D34" s="1186"/>
      <c r="E34" s="1186"/>
      <c r="F34" s="1186"/>
      <c r="I34" s="5201" t="s">
        <v>32</v>
      </c>
      <c r="J34" s="5201"/>
      <c r="K34" s="5201"/>
      <c r="L34" s="2862">
        <f>EMPLEO_tur_DMQ!H48</f>
        <v>1793</v>
      </c>
      <c r="M34" s="5307"/>
      <c r="O34" s="5291"/>
      <c r="P34" s="5292"/>
      <c r="Q34" s="5292"/>
      <c r="R34" s="5292"/>
      <c r="S34" s="5292"/>
      <c r="T34" s="5293"/>
      <c r="V34" s="5303"/>
      <c r="W34" s="1855" t="s">
        <v>1176</v>
      </c>
      <c r="X34" s="1869" t="s">
        <v>1170</v>
      </c>
      <c r="Y34" s="5211"/>
      <c r="Z34" s="5211"/>
      <c r="AA34" s="5211"/>
    </row>
    <row r="35" spans="1:27">
      <c r="A35" s="5174"/>
      <c r="B35" s="5181"/>
      <c r="C35" s="1186"/>
      <c r="D35" s="1186"/>
      <c r="E35" s="1186"/>
      <c r="F35" s="1186"/>
      <c r="I35" s="5209" t="s">
        <v>465</v>
      </c>
      <c r="J35" s="5209"/>
      <c r="K35" s="5209"/>
      <c r="L35" s="2822">
        <f>EMPLEO_tur_DMQ!F48</f>
        <v>920</v>
      </c>
      <c r="M35" s="5307"/>
      <c r="O35" s="5291"/>
      <c r="P35" s="5292"/>
      <c r="Q35" s="5292"/>
      <c r="R35" s="5292"/>
      <c r="S35" s="5292"/>
      <c r="T35" s="5293"/>
      <c r="V35" s="5303"/>
      <c r="W35" s="1874" t="s">
        <v>465</v>
      </c>
      <c r="X35" s="1869" t="s">
        <v>1171</v>
      </c>
      <c r="Y35" s="5211"/>
      <c r="Z35" s="5211"/>
      <c r="AA35" s="5211"/>
    </row>
    <row r="36" spans="1:27" ht="17.399999999999999" customHeight="1">
      <c r="A36" s="5175"/>
      <c r="B36" s="5182"/>
      <c r="C36" s="1186"/>
      <c r="D36" s="1186"/>
      <c r="E36" s="1186"/>
      <c r="F36" s="1186"/>
      <c r="I36" s="5209" t="s">
        <v>466</v>
      </c>
      <c r="J36" s="5209"/>
      <c r="K36" s="5209"/>
      <c r="L36" s="2822">
        <f>EMPLEO_tur_DMQ!G48</f>
        <v>873</v>
      </c>
      <c r="M36" s="5256"/>
      <c r="O36" s="5294"/>
      <c r="P36" s="5295"/>
      <c r="Q36" s="5295"/>
      <c r="R36" s="5295"/>
      <c r="S36" s="5295"/>
      <c r="T36" s="5296"/>
      <c r="V36" s="5221"/>
      <c r="W36" s="1874" t="s">
        <v>466</v>
      </c>
      <c r="X36" s="1869" t="s">
        <v>1172</v>
      </c>
      <c r="Y36" s="5212"/>
      <c r="Z36" s="5212"/>
      <c r="AA36" s="5212"/>
    </row>
    <row r="37" spans="1:27" s="428" customFormat="1" ht="30" customHeight="1">
      <c r="A37" s="5251" t="s">
        <v>1110</v>
      </c>
      <c r="B37" s="5194" t="s">
        <v>918</v>
      </c>
      <c r="C37" s="5194"/>
      <c r="D37" s="5194"/>
      <c r="E37" s="5194"/>
      <c r="F37" s="5194"/>
      <c r="G37" s="5195"/>
      <c r="H37" s="2254">
        <v>56</v>
      </c>
      <c r="L37" s="1259">
        <v>2</v>
      </c>
      <c r="M37" s="1225" t="s">
        <v>990</v>
      </c>
      <c r="O37" s="3767" t="s">
        <v>1004</v>
      </c>
      <c r="P37" s="1173" t="s">
        <v>9</v>
      </c>
      <c r="Q37" s="5236" t="s">
        <v>1003</v>
      </c>
      <c r="R37" s="5237"/>
      <c r="S37" s="5237"/>
      <c r="T37" s="5238"/>
      <c r="V37" s="5220" t="s">
        <v>918</v>
      </c>
      <c r="W37" s="1866" t="s">
        <v>1186</v>
      </c>
      <c r="X37" s="1869" t="s">
        <v>597</v>
      </c>
      <c r="Y37" s="5210" t="s">
        <v>1146</v>
      </c>
      <c r="Z37" s="5210" t="s">
        <v>1184</v>
      </c>
      <c r="AA37" s="5210" t="s">
        <v>1180</v>
      </c>
    </row>
    <row r="38" spans="1:27" s="428" customFormat="1">
      <c r="A38" s="5252"/>
      <c r="B38" s="5196"/>
      <c r="C38" s="5196"/>
      <c r="D38" s="5196"/>
      <c r="E38" s="5196"/>
      <c r="F38" s="5196"/>
      <c r="G38" s="5197"/>
      <c r="H38" s="2254">
        <f>H6*20%</f>
        <v>56712.200000000004</v>
      </c>
      <c r="L38" s="1259">
        <v>1794.7912000000001</v>
      </c>
      <c r="M38" s="1225" t="s">
        <v>1134</v>
      </c>
      <c r="O38" s="5239" t="s">
        <v>1005</v>
      </c>
      <c r="P38" s="5240"/>
      <c r="Q38" s="5240"/>
      <c r="R38" s="5240"/>
      <c r="S38" s="5240"/>
      <c r="T38" s="5241"/>
      <c r="V38" s="5221"/>
      <c r="W38" s="1925" t="s">
        <v>1178</v>
      </c>
      <c r="X38" s="1869" t="s">
        <v>1177</v>
      </c>
      <c r="Y38" s="5212"/>
      <c r="Z38" s="5212"/>
      <c r="AA38" s="5212"/>
    </row>
    <row r="39" spans="1:27" s="428" customFormat="1">
      <c r="A39" s="5252"/>
      <c r="B39" s="5186" t="s">
        <v>914</v>
      </c>
      <c r="C39" s="5186"/>
      <c r="D39" s="5186"/>
      <c r="E39" s="5186"/>
      <c r="F39" s="5186"/>
      <c r="G39" s="5186"/>
      <c r="H39" s="5186"/>
      <c r="I39" s="5186"/>
      <c r="J39" s="5186"/>
      <c r="K39" s="5186"/>
      <c r="L39" s="5187"/>
      <c r="M39" s="5188"/>
      <c r="O39" s="1859"/>
      <c r="P39" s="1222"/>
      <c r="Q39" s="1222"/>
      <c r="R39" s="1222"/>
      <c r="S39" s="1222"/>
      <c r="T39" s="1222"/>
      <c r="V39" s="1893"/>
      <c r="W39" s="1872"/>
      <c r="X39" s="1893"/>
      <c r="Y39" s="1893"/>
      <c r="Z39" s="1893"/>
      <c r="AA39" s="1893"/>
    </row>
    <row r="40" spans="1:27" ht="337.2" customHeight="1">
      <c r="A40" s="5253"/>
      <c r="B40" s="5192" t="s">
        <v>1112</v>
      </c>
      <c r="C40" s="5192"/>
      <c r="D40" s="5192"/>
      <c r="E40" s="5192"/>
      <c r="F40" s="5192"/>
      <c r="G40" s="5193"/>
      <c r="H40" s="5205" t="s">
        <v>1111</v>
      </c>
      <c r="I40" s="5192"/>
      <c r="J40" s="5193"/>
      <c r="K40" s="5205" t="s">
        <v>980</v>
      </c>
      <c r="L40" s="5305"/>
      <c r="M40" s="5306"/>
      <c r="O40" s="3767" t="s">
        <v>1004</v>
      </c>
      <c r="P40" s="1173" t="s">
        <v>9</v>
      </c>
      <c r="Q40" s="5236" t="s">
        <v>1003</v>
      </c>
      <c r="R40" s="5237"/>
      <c r="S40" s="5237"/>
      <c r="T40" s="5238"/>
      <c r="V40" s="1926" t="s">
        <v>1183</v>
      </c>
      <c r="W40" s="1928" t="s">
        <v>1183</v>
      </c>
      <c r="X40" s="1928" t="s">
        <v>1140</v>
      </c>
      <c r="Y40" s="1928" t="s">
        <v>1146</v>
      </c>
      <c r="Z40" s="1928" t="s">
        <v>1184</v>
      </c>
      <c r="AA40" s="1928" t="s">
        <v>1180</v>
      </c>
    </row>
    <row r="41" spans="1:27" s="428" customFormat="1">
      <c r="A41" s="1244"/>
      <c r="B41" s="5189" t="s">
        <v>1037</v>
      </c>
      <c r="C41" s="5189"/>
      <c r="D41" s="5189"/>
      <c r="E41" s="5189"/>
      <c r="F41" s="5189"/>
      <c r="G41" s="5189"/>
      <c r="H41" s="5189"/>
      <c r="I41" s="5189"/>
      <c r="J41" s="5189"/>
      <c r="K41" s="5189"/>
      <c r="L41" s="5190"/>
      <c r="M41" s="5191"/>
      <c r="O41" s="3792"/>
      <c r="V41" s="1893"/>
      <c r="W41" s="1872"/>
      <c r="X41" s="1893"/>
      <c r="Y41" s="1893"/>
      <c r="Z41" s="1893"/>
      <c r="AA41" s="1893"/>
    </row>
    <row r="42" spans="1:27" s="428" customFormat="1">
      <c r="A42" s="5174" t="s">
        <v>993</v>
      </c>
      <c r="B42" s="5148" t="s">
        <v>920</v>
      </c>
      <c r="C42" s="5148"/>
      <c r="D42" s="5148"/>
      <c r="E42" s="5148"/>
      <c r="F42" s="5148"/>
      <c r="G42" s="5148"/>
      <c r="H42" s="2257"/>
      <c r="I42" s="2258"/>
      <c r="J42" s="5202">
        <v>7</v>
      </c>
      <c r="K42" s="5202"/>
      <c r="L42" s="5203"/>
      <c r="M42" s="5204"/>
      <c r="O42" s="5288" t="s">
        <v>1005</v>
      </c>
      <c r="P42" s="5289"/>
      <c r="Q42" s="5289"/>
      <c r="R42" s="5289"/>
      <c r="S42" s="5289"/>
      <c r="T42" s="5290"/>
      <c r="V42" s="1930" t="s">
        <v>920</v>
      </c>
      <c r="W42" s="1931" t="s">
        <v>1179</v>
      </c>
      <c r="X42" s="1932" t="s">
        <v>597</v>
      </c>
      <c r="Y42" s="1932" t="s">
        <v>1146</v>
      </c>
      <c r="Z42" s="1932" t="s">
        <v>1184</v>
      </c>
      <c r="AA42" s="1932" t="s">
        <v>1180</v>
      </c>
    </row>
    <row r="43" spans="1:27" ht="124.2" customHeight="1">
      <c r="A43" s="5174"/>
      <c r="B43" s="5149"/>
      <c r="C43" s="5150"/>
      <c r="D43" s="5150"/>
      <c r="E43" s="5150"/>
      <c r="F43" s="5150"/>
      <c r="G43" s="5150"/>
      <c r="H43" s="2256"/>
      <c r="I43" s="2255"/>
      <c r="J43" s="5285" t="s">
        <v>1416</v>
      </c>
      <c r="K43" s="5285"/>
      <c r="L43" s="5286"/>
      <c r="M43" s="5287"/>
      <c r="O43" s="5291"/>
      <c r="P43" s="5292"/>
      <c r="Q43" s="5292"/>
      <c r="R43" s="5292"/>
      <c r="S43" s="5292"/>
      <c r="T43" s="5293"/>
      <c r="V43" s="1929" t="s">
        <v>1185</v>
      </c>
      <c r="W43" s="1928" t="s">
        <v>1185</v>
      </c>
      <c r="X43" s="1928" t="s">
        <v>1140</v>
      </c>
      <c r="Y43" s="1928" t="s">
        <v>1146</v>
      </c>
      <c r="Z43" s="1928" t="s">
        <v>1184</v>
      </c>
      <c r="AA43" s="1928" t="s">
        <v>1180</v>
      </c>
    </row>
    <row r="44" spans="1:27">
      <c r="A44" s="5175"/>
      <c r="B44" s="5155" t="s">
        <v>1034</v>
      </c>
      <c r="C44" s="5155"/>
      <c r="D44" s="5155"/>
      <c r="E44" s="5155"/>
      <c r="F44" s="5155"/>
      <c r="G44" s="5155"/>
      <c r="H44" s="5155"/>
      <c r="I44" s="5155"/>
      <c r="J44" s="5155"/>
      <c r="K44" s="5155"/>
      <c r="L44" s="5156"/>
      <c r="M44" s="5157"/>
      <c r="O44" s="5294"/>
      <c r="P44" s="5295"/>
      <c r="Q44" s="5295"/>
      <c r="R44" s="5295"/>
      <c r="S44" s="5295"/>
      <c r="T44" s="5296"/>
      <c r="W44" s="1872"/>
      <c r="X44" s="1893"/>
      <c r="Y44" s="1893"/>
      <c r="Z44" s="1893"/>
      <c r="AA44" s="1893"/>
    </row>
    <row r="45" spans="1:27" customFormat="1">
      <c r="L45" s="4500"/>
      <c r="O45" s="226"/>
      <c r="V45" s="36"/>
      <c r="W45" s="263"/>
      <c r="X45" s="53"/>
      <c r="Y45" s="53"/>
      <c r="Z45" s="53"/>
      <c r="AA45" s="53"/>
    </row>
    <row r="46" spans="1:27" customFormat="1" ht="21.6" thickBot="1">
      <c r="B46" s="5173" t="s">
        <v>1120</v>
      </c>
      <c r="C46" s="5173"/>
      <c r="D46" s="5173"/>
      <c r="E46" s="5173"/>
      <c r="F46" s="5173"/>
      <c r="G46" s="5173"/>
      <c r="H46" s="5173"/>
      <c r="I46" s="5173"/>
      <c r="J46" s="2470"/>
      <c r="K46" s="2470"/>
      <c r="L46" s="2470"/>
      <c r="O46" s="226"/>
      <c r="V46" s="36"/>
      <c r="W46" s="263"/>
      <c r="X46" s="53"/>
      <c r="Y46" s="53"/>
      <c r="Z46" s="53"/>
      <c r="AA46" s="53"/>
    </row>
    <row r="47" spans="1:27" s="1166" customFormat="1" ht="14.4" customHeight="1">
      <c r="A47" s="5171" t="s">
        <v>1113</v>
      </c>
      <c r="B47" s="4760"/>
      <c r="C47" s="1247">
        <v>2013</v>
      </c>
      <c r="D47" s="1248">
        <v>2014</v>
      </c>
      <c r="E47" s="1249">
        <v>2015</v>
      </c>
      <c r="F47" s="1250">
        <v>2016</v>
      </c>
      <c r="G47" s="1251">
        <v>2017</v>
      </c>
      <c r="H47" s="1252">
        <v>2018</v>
      </c>
      <c r="I47" s="1248">
        <v>2019</v>
      </c>
      <c r="J47" s="2238">
        <v>2020</v>
      </c>
      <c r="K47" s="2471">
        <v>2021</v>
      </c>
      <c r="L47" s="4757" t="s">
        <v>1588</v>
      </c>
      <c r="M47" s="1253" t="s">
        <v>582</v>
      </c>
      <c r="O47" s="5280" t="s">
        <v>1933</v>
      </c>
      <c r="V47" s="1894"/>
      <c r="W47" s="1913"/>
      <c r="X47" s="1905"/>
      <c r="Y47" s="1905"/>
      <c r="Z47" s="1905"/>
      <c r="AA47" s="1905"/>
    </row>
    <row r="48" spans="1:27" ht="28.8" customHeight="1">
      <c r="A48" s="5168"/>
      <c r="B48" s="4761" t="s">
        <v>1109</v>
      </c>
      <c r="C48" s="4762">
        <v>1364057</v>
      </c>
      <c r="D48" s="4763">
        <v>1556991</v>
      </c>
      <c r="E48" s="4764">
        <v>1544463</v>
      </c>
      <c r="F48" s="4765">
        <v>1418159</v>
      </c>
      <c r="G48" s="4766">
        <v>1608473</v>
      </c>
      <c r="H48" s="4767">
        <v>2428536</v>
      </c>
      <c r="I48" s="4763">
        <v>2043993</v>
      </c>
      <c r="J48" s="4768">
        <v>468894</v>
      </c>
      <c r="K48" s="4769">
        <v>590006</v>
      </c>
      <c r="L48" s="4758">
        <f>K48*1.4</f>
        <v>826008.39999999991</v>
      </c>
      <c r="M48" s="1821" t="s">
        <v>1107</v>
      </c>
      <c r="O48" s="5281"/>
      <c r="V48" s="1897" t="s">
        <v>1109</v>
      </c>
      <c r="W48" s="1914" t="s">
        <v>1190</v>
      </c>
      <c r="X48" s="1876" t="s">
        <v>597</v>
      </c>
      <c r="Y48" s="1876" t="s">
        <v>1146</v>
      </c>
      <c r="Z48" s="1876" t="s">
        <v>1189</v>
      </c>
      <c r="AA48" s="1876" t="s">
        <v>1149</v>
      </c>
    </row>
    <row r="49" spans="1:27" ht="28.2" thickBot="1">
      <c r="A49" s="5172"/>
      <c r="B49" s="1822" t="s">
        <v>1108</v>
      </c>
      <c r="C49" s="1823"/>
      <c r="D49" s="1824">
        <f t="shared" ref="D49:J49" si="0">D48/C48-1</f>
        <v>0.14144130340594274</v>
      </c>
      <c r="E49" s="1825">
        <f t="shared" si="0"/>
        <v>-8.0462892849091361E-3</v>
      </c>
      <c r="F49" s="1826">
        <f t="shared" si="0"/>
        <v>-8.1778585825623584E-2</v>
      </c>
      <c r="G49" s="1827">
        <f t="shared" si="0"/>
        <v>0.13419792844102818</v>
      </c>
      <c r="H49" s="1828">
        <f t="shared" si="0"/>
        <v>0.50983945642855066</v>
      </c>
      <c r="I49" s="1829">
        <f t="shared" si="0"/>
        <v>-0.158343545247013</v>
      </c>
      <c r="J49" s="2259">
        <f t="shared" si="0"/>
        <v>-0.77059901868548475</v>
      </c>
      <c r="K49" s="4770">
        <f>K48/J48-1</f>
        <v>0.25829291908192475</v>
      </c>
      <c r="L49" s="4771">
        <f>L48/K48-1</f>
        <v>0.39999999999999991</v>
      </c>
      <c r="M49" s="1243" t="s">
        <v>444</v>
      </c>
      <c r="O49" s="5281"/>
      <c r="V49" s="1898" t="s">
        <v>1108</v>
      </c>
      <c r="W49" s="1915" t="s">
        <v>1191</v>
      </c>
      <c r="X49" s="1877" t="s">
        <v>33</v>
      </c>
      <c r="Y49" s="1877" t="s">
        <v>1146</v>
      </c>
      <c r="Z49" s="1877" t="s">
        <v>1189</v>
      </c>
      <c r="AA49" s="1877" t="s">
        <v>1149</v>
      </c>
    </row>
    <row r="50" spans="1:27" customFormat="1" ht="28.8">
      <c r="G50" s="5161" t="s">
        <v>1115</v>
      </c>
      <c r="H50" s="842" t="s">
        <v>1114</v>
      </c>
      <c r="I50" s="2163" t="s">
        <v>1396</v>
      </c>
      <c r="J50" s="2163"/>
      <c r="L50" s="4500"/>
      <c r="O50" s="5281"/>
      <c r="V50" s="36"/>
      <c r="W50" s="263"/>
      <c r="X50" s="53"/>
      <c r="Y50" s="53"/>
      <c r="Z50" s="53"/>
      <c r="AA50" s="53"/>
    </row>
    <row r="51" spans="1:27" customFormat="1">
      <c r="G51" s="5162"/>
      <c r="H51" s="1849">
        <f>(H48-850000)/G48-1</f>
        <v>-1.8612062496541792E-2</v>
      </c>
      <c r="I51" s="1849">
        <f>(I48-400000)/H48-1</f>
        <v>-0.32305183040317298</v>
      </c>
      <c r="J51" s="2163"/>
      <c r="L51" s="4500"/>
      <c r="M51" s="1"/>
      <c r="O51" s="226"/>
      <c r="V51" s="36"/>
      <c r="W51" s="263"/>
      <c r="X51" s="53"/>
      <c r="Y51" s="53"/>
      <c r="Z51" s="53"/>
      <c r="AA51" s="53"/>
    </row>
    <row r="52" spans="1:27" customFormat="1">
      <c r="H52" s="1848"/>
      <c r="J52" s="2163"/>
      <c r="L52" s="4500"/>
      <c r="O52" s="226"/>
      <c r="V52" s="36"/>
      <c r="W52" s="263"/>
      <c r="X52" s="53"/>
      <c r="Y52" s="53"/>
      <c r="Z52" s="53"/>
      <c r="AA52" s="53"/>
    </row>
    <row r="53" spans="1:27" customFormat="1" ht="15" thickBot="1">
      <c r="L53" s="4500"/>
      <c r="O53" s="226"/>
      <c r="V53" s="36"/>
      <c r="W53" s="263"/>
      <c r="X53" s="53"/>
      <c r="Y53" s="53"/>
      <c r="Z53" s="53"/>
      <c r="AA53" s="53"/>
    </row>
    <row r="54" spans="1:27" ht="29.4" thickBot="1">
      <c r="A54" s="5158" t="s">
        <v>1026</v>
      </c>
      <c r="B54" s="5159"/>
      <c r="C54" s="5159"/>
      <c r="D54" s="5159"/>
      <c r="E54" s="5159"/>
      <c r="F54" s="5159"/>
      <c r="G54" s="5159"/>
      <c r="H54" s="5159"/>
      <c r="I54" s="5159"/>
      <c r="J54" s="5159"/>
      <c r="K54" s="5159"/>
      <c r="L54" s="5159"/>
      <c r="M54" s="5160"/>
      <c r="W54" s="1872"/>
      <c r="X54" s="1893"/>
      <c r="Y54" s="1893"/>
      <c r="Z54" s="1893"/>
      <c r="AA54" s="1893"/>
    </row>
    <row r="55" spans="1:27" s="1166" customFormat="1">
      <c r="A55" s="1245"/>
      <c r="B55" s="1246" t="s">
        <v>991</v>
      </c>
      <c r="C55" s="1247">
        <v>2013</v>
      </c>
      <c r="D55" s="1248">
        <v>2014</v>
      </c>
      <c r="E55" s="1249">
        <v>2015</v>
      </c>
      <c r="F55" s="1250">
        <v>2016</v>
      </c>
      <c r="G55" s="1251">
        <v>2017</v>
      </c>
      <c r="H55" s="1252">
        <v>2018</v>
      </c>
      <c r="I55" s="1248">
        <v>2019</v>
      </c>
      <c r="J55" s="2233">
        <v>2020</v>
      </c>
      <c r="K55" s="2471">
        <v>2021</v>
      </c>
      <c r="L55" s="4757" t="s">
        <v>1588</v>
      </c>
      <c r="M55" s="1253" t="s">
        <v>582</v>
      </c>
      <c r="O55" s="5297" t="s">
        <v>1976</v>
      </c>
      <c r="V55" s="1906" t="s">
        <v>991</v>
      </c>
      <c r="W55" s="1916"/>
      <c r="X55" s="1907"/>
      <c r="Y55" s="1907"/>
      <c r="Z55" s="1907"/>
      <c r="AA55" s="1907"/>
    </row>
    <row r="56" spans="1:27" s="1166" customFormat="1" ht="27.6">
      <c r="A56" s="2827">
        <v>1</v>
      </c>
      <c r="B56" s="1176" t="s">
        <v>262</v>
      </c>
      <c r="C56" s="1167">
        <f>'Llegadas '!$H$16</f>
        <v>628958</v>
      </c>
      <c r="D56" s="1168">
        <f>'Llegadas '!I16</f>
        <v>703015</v>
      </c>
      <c r="E56" s="1169">
        <f>'Llegadas '!J16</f>
        <v>712877</v>
      </c>
      <c r="F56" s="1170">
        <f>'Llegadas '!K16</f>
        <v>627626</v>
      </c>
      <c r="G56" s="1171">
        <f>'Llegadas '!L16</f>
        <v>652931</v>
      </c>
      <c r="H56" s="1177">
        <f>'Llegadas '!M16</f>
        <v>692492</v>
      </c>
      <c r="I56" s="1168">
        <f>'Llegadas '!N16</f>
        <v>684390</v>
      </c>
      <c r="J56" s="2234">
        <f>'Llegadas '!O16</f>
        <v>190417</v>
      </c>
      <c r="K56" s="2472">
        <f>'Llegadas '!P16</f>
        <v>280996</v>
      </c>
      <c r="L56" s="4758">
        <f>'Llegadas '!Q16</f>
        <v>478391</v>
      </c>
      <c r="M56" s="1225" t="s">
        <v>171</v>
      </c>
      <c r="O56" s="5297"/>
      <c r="V56" s="1899" t="s">
        <v>262</v>
      </c>
      <c r="W56" s="1933" t="s">
        <v>1187</v>
      </c>
      <c r="X56" s="1934" t="s">
        <v>597</v>
      </c>
      <c r="Y56" s="1934" t="s">
        <v>1188</v>
      </c>
      <c r="Z56" s="1934" t="s">
        <v>1192</v>
      </c>
      <c r="AA56" s="1876" t="s">
        <v>1149</v>
      </c>
    </row>
    <row r="57" spans="1:27" s="1166" customFormat="1" ht="27.6">
      <c r="A57" s="1229">
        <f>A56+1</f>
        <v>2</v>
      </c>
      <c r="B57" s="1176" t="s">
        <v>1108</v>
      </c>
      <c r="C57" s="1178">
        <f>'Llegadas '!$H$20</f>
        <v>0.17902065392214572</v>
      </c>
      <c r="D57" s="1179">
        <f t="shared" ref="D57:L57" si="1">D56/C56-1</f>
        <v>0.11774554103771639</v>
      </c>
      <c r="E57" s="1180">
        <f t="shared" si="1"/>
        <v>1.4028150181717214E-2</v>
      </c>
      <c r="F57" s="1181">
        <f t="shared" si="1"/>
        <v>-0.11958724997439951</v>
      </c>
      <c r="G57" s="1182">
        <f t="shared" si="1"/>
        <v>4.0318597381242993E-2</v>
      </c>
      <c r="H57" s="1183">
        <f t="shared" si="1"/>
        <v>6.0589863247418219E-2</v>
      </c>
      <c r="I57" s="1184">
        <f t="shared" si="1"/>
        <v>-1.1699774149015463E-2</v>
      </c>
      <c r="J57" s="2235">
        <f t="shared" si="1"/>
        <v>-0.72177121232046049</v>
      </c>
      <c r="K57" s="2473">
        <f t="shared" si="1"/>
        <v>0.47568756991235017</v>
      </c>
      <c r="L57" s="4759">
        <f t="shared" si="1"/>
        <v>0.70248330937095194</v>
      </c>
      <c r="M57" s="1225" t="s">
        <v>1981</v>
      </c>
      <c r="O57" s="5297"/>
      <c r="V57" s="1899" t="s">
        <v>1108</v>
      </c>
      <c r="W57" s="1935" t="s">
        <v>1195</v>
      </c>
      <c r="X57" s="1936" t="s">
        <v>33</v>
      </c>
      <c r="Y57" s="1936" t="s">
        <v>1188</v>
      </c>
      <c r="Z57" s="1936" t="s">
        <v>1192</v>
      </c>
      <c r="AA57" s="1876" t="s">
        <v>1149</v>
      </c>
    </row>
    <row r="58" spans="1:27" s="1166" customFormat="1" ht="27.6">
      <c r="A58" s="2827">
        <f>A57+1</f>
        <v>3</v>
      </c>
      <c r="B58" s="1176" t="s">
        <v>1465</v>
      </c>
      <c r="C58" s="5301">
        <f>'Llegadas '!R16</f>
        <v>669747.4</v>
      </c>
      <c r="D58" s="5301"/>
      <c r="E58" s="5301"/>
      <c r="F58" s="5301"/>
      <c r="G58" s="5301"/>
      <c r="H58" s="5301"/>
      <c r="I58" s="5301"/>
      <c r="J58" s="5301"/>
      <c r="K58" s="5301"/>
      <c r="L58" s="5302"/>
      <c r="M58" s="1225" t="s">
        <v>171</v>
      </c>
      <c r="O58" s="5297"/>
      <c r="V58" s="1899" t="s">
        <v>547</v>
      </c>
      <c r="W58" s="1917" t="s">
        <v>1194</v>
      </c>
      <c r="X58" s="1894" t="s">
        <v>597</v>
      </c>
      <c r="Y58" s="1894" t="s">
        <v>1188</v>
      </c>
      <c r="Z58" s="1894" t="s">
        <v>1193</v>
      </c>
      <c r="AA58" s="1894" t="s">
        <v>1149</v>
      </c>
    </row>
    <row r="59" spans="1:27" s="1166" customFormat="1" ht="27.6">
      <c r="A59" s="1229">
        <f>A58+1</f>
        <v>4</v>
      </c>
      <c r="B59" s="1176" t="s">
        <v>169</v>
      </c>
      <c r="C59" s="5298" t="s">
        <v>583</v>
      </c>
      <c r="D59" s="5298"/>
      <c r="E59" s="5298"/>
      <c r="F59" s="5298"/>
      <c r="G59" s="5298"/>
      <c r="H59" s="5298"/>
      <c r="I59" s="5298"/>
      <c r="J59" s="5298"/>
      <c r="K59" s="5298"/>
      <c r="L59" s="5299"/>
      <c r="M59" s="5300"/>
      <c r="O59" s="5297"/>
      <c r="V59" s="1899" t="s">
        <v>169</v>
      </c>
      <c r="W59" s="1917" t="s">
        <v>1196</v>
      </c>
      <c r="X59" s="1894" t="s">
        <v>1140</v>
      </c>
      <c r="Y59" s="1894" t="s">
        <v>1146</v>
      </c>
      <c r="Z59" s="1894" t="s">
        <v>1197</v>
      </c>
      <c r="AA59" s="1894" t="s">
        <v>1149</v>
      </c>
    </row>
    <row r="60" spans="1:27" s="1166" customFormat="1" ht="27.6">
      <c r="A60" s="2827">
        <f>A59+1</f>
        <v>5</v>
      </c>
      <c r="B60" s="1185" t="s">
        <v>822</v>
      </c>
      <c r="C60" s="5152" t="s">
        <v>1027</v>
      </c>
      <c r="D60" s="5152"/>
      <c r="E60" s="5152"/>
      <c r="F60" s="5152"/>
      <c r="G60" s="5152"/>
      <c r="H60" s="5152"/>
      <c r="I60" s="5152"/>
      <c r="J60" s="5152"/>
      <c r="K60" s="5152"/>
      <c r="L60" s="5153"/>
      <c r="M60" s="5154"/>
      <c r="O60" s="5297"/>
      <c r="V60" s="1895" t="s">
        <v>170</v>
      </c>
      <c r="W60" s="1917" t="s">
        <v>1198</v>
      </c>
      <c r="X60" s="1894" t="s">
        <v>1140</v>
      </c>
      <c r="Y60" s="1894" t="s">
        <v>1146</v>
      </c>
      <c r="Z60" s="1894" t="s">
        <v>1199</v>
      </c>
      <c r="AA60" s="1894" t="s">
        <v>1200</v>
      </c>
    </row>
    <row r="61" spans="1:27" s="1166" customFormat="1">
      <c r="A61" s="1228"/>
      <c r="B61" s="1186"/>
      <c r="C61" s="1187"/>
      <c r="D61" s="1187"/>
      <c r="E61" s="1187"/>
      <c r="F61" s="1187"/>
      <c r="G61" s="1187"/>
      <c r="H61" s="1187"/>
      <c r="I61" s="1187"/>
      <c r="J61" s="1187"/>
      <c r="K61" s="1187"/>
      <c r="L61" s="1187"/>
      <c r="M61" s="1230"/>
      <c r="O61" s="3791"/>
      <c r="V61" s="1896"/>
      <c r="W61" s="1878"/>
      <c r="X61" s="1018"/>
      <c r="Y61" s="1018"/>
      <c r="Z61" s="1018"/>
      <c r="AA61" s="1018"/>
    </row>
    <row r="62" spans="1:27" ht="15" thickBot="1">
      <c r="A62" s="1231"/>
      <c r="B62" s="1189"/>
      <c r="C62" s="1190"/>
      <c r="D62" s="1190"/>
      <c r="E62" s="1190"/>
      <c r="F62" s="1190"/>
      <c r="G62" s="1190"/>
      <c r="H62" s="1187"/>
      <c r="I62" s="1187"/>
      <c r="J62" s="1187"/>
      <c r="K62" s="1187"/>
      <c r="L62" s="1187"/>
      <c r="M62" s="1230"/>
      <c r="V62" s="1568"/>
      <c r="W62" s="1878"/>
      <c r="X62" s="1018"/>
      <c r="Y62" s="1018"/>
      <c r="Z62" s="1018"/>
      <c r="AA62" s="1018"/>
    </row>
    <row r="63" spans="1:27" s="1166" customFormat="1" ht="55.2">
      <c r="A63" s="1245"/>
      <c r="B63" s="1246" t="s">
        <v>1008</v>
      </c>
      <c r="C63" s="1575" t="str">
        <f>'Sugeridos-estancia-gasto'!G4</f>
        <v xml:space="preserve"> junio 2013</v>
      </c>
      <c r="D63" s="1576" t="str">
        <f>'Sugeridos-estancia-gasto'!H4</f>
        <v xml:space="preserve"> agosto 2014</v>
      </c>
      <c r="E63" s="1577" t="str">
        <f>'Sugeridos-estancia-gasto'!I4</f>
        <v xml:space="preserve"> agosto 2015</v>
      </c>
      <c r="F63" s="1578" t="str">
        <f>'Sugeridos-estancia-gasto'!J4</f>
        <v xml:space="preserve"> diciembre 2016</v>
      </c>
      <c r="G63" s="1579" t="str">
        <f>'Sugeridos-estancia-gasto'!K4</f>
        <v xml:space="preserve"> enero 2017 (e) </v>
      </c>
      <c r="H63" s="1252" t="s">
        <v>813</v>
      </c>
      <c r="I63" s="1580" t="s">
        <v>834</v>
      </c>
      <c r="J63" s="2233" t="s">
        <v>1395</v>
      </c>
      <c r="K63" s="2471" t="s">
        <v>1419</v>
      </c>
      <c r="L63" s="4757" t="s">
        <v>1588</v>
      </c>
      <c r="M63" s="1253" t="s">
        <v>582</v>
      </c>
      <c r="O63" s="5279" t="s">
        <v>1976</v>
      </c>
      <c r="V63" s="1906" t="s">
        <v>1008</v>
      </c>
      <c r="W63" s="1918"/>
      <c r="X63" s="1906"/>
      <c r="Y63" s="1906"/>
      <c r="Z63" s="1906"/>
      <c r="AA63" s="1906"/>
    </row>
    <row r="64" spans="1:27" s="1166" customFormat="1" ht="27.6">
      <c r="A64" s="1229">
        <f>A60+1</f>
        <v>6</v>
      </c>
      <c r="B64" s="1176" t="s">
        <v>484</v>
      </c>
      <c r="C64" s="1191">
        <f>'Sugeridos-estancia-gasto'!G5</f>
        <v>5.38</v>
      </c>
      <c r="D64" s="1192">
        <f>'Sugeridos-estancia-gasto'!H5</f>
        <v>7.45</v>
      </c>
      <c r="E64" s="1193">
        <f>'Sugeridos-estancia-gasto'!I5</f>
        <v>5.92</v>
      </c>
      <c r="F64" s="1194">
        <f>'Sugeridos-estancia-gasto'!J5</f>
        <v>5.53</v>
      </c>
      <c r="G64" s="1195">
        <f>'Sugeridos-estancia-gasto'!K5</f>
        <v>4.8682914931280266</v>
      </c>
      <c r="H64" s="1196">
        <f>'Sugeridos-estancia-gasto'!L5</f>
        <v>5.84</v>
      </c>
      <c r="I64" s="1581">
        <f>'Sugeridos-estancia-gasto'!M5</f>
        <v>5.9216582986256059</v>
      </c>
      <c r="J64" s="2237">
        <f>'Sugeridos-estancia-gasto'!N5</f>
        <v>5</v>
      </c>
      <c r="K64" s="2506">
        <f>'Sugeridos-estancia-gasto'!O5</f>
        <v>5</v>
      </c>
      <c r="L64" s="4772">
        <f>'Sugeridos-estancia-gasto'!P5</f>
        <v>5</v>
      </c>
      <c r="M64" s="1225" t="s">
        <v>1007</v>
      </c>
      <c r="O64" s="5279"/>
      <c r="V64" s="1899" t="s">
        <v>484</v>
      </c>
      <c r="W64" s="1919" t="s">
        <v>1202</v>
      </c>
      <c r="X64" s="1879" t="s">
        <v>1201</v>
      </c>
      <c r="Y64" s="1894" t="s">
        <v>1146</v>
      </c>
      <c r="Z64" s="1894" t="s">
        <v>1199</v>
      </c>
      <c r="AA64" s="1894" t="s">
        <v>1200</v>
      </c>
    </row>
    <row r="65" spans="1:27" s="1166" customFormat="1" ht="27.6">
      <c r="A65" s="2827">
        <f>A64+1</f>
        <v>7</v>
      </c>
      <c r="B65" s="1176" t="s">
        <v>500</v>
      </c>
      <c r="C65" s="1191">
        <f>'Sugeridos-estancia-gasto'!G6</f>
        <v>572</v>
      </c>
      <c r="D65" s="1192">
        <f>'Sugeridos-estancia-gasto'!H6</f>
        <v>666</v>
      </c>
      <c r="E65" s="1193">
        <f>'Sugeridos-estancia-gasto'!I6</f>
        <v>446</v>
      </c>
      <c r="F65" s="1194">
        <f>'Sugeridos-estancia-gasto'!J6</f>
        <v>631</v>
      </c>
      <c r="G65" s="1195">
        <f>'Sugeridos-estancia-gasto'!K6</f>
        <v>550.08828863600218</v>
      </c>
      <c r="H65" s="1196">
        <f>'Sugeridos-estancia-gasto'!L6</f>
        <v>690</v>
      </c>
      <c r="I65" s="1581">
        <f>'Sugeridos-estancia-gasto'!M6</f>
        <v>759</v>
      </c>
      <c r="J65" s="2237">
        <f>'Sugeridos-estancia-gasto'!N6</f>
        <v>569.36999999999989</v>
      </c>
      <c r="K65" s="2506">
        <f>'Sugeridos-estancia-gasto'!O6</f>
        <v>569.36999999999989</v>
      </c>
      <c r="L65" s="4772">
        <f>'Sugeridos-estancia-gasto'!P6</f>
        <v>569.36999999999989</v>
      </c>
      <c r="M65" s="1225" t="s">
        <v>589</v>
      </c>
      <c r="O65" s="5279"/>
      <c r="V65" s="1899" t="s">
        <v>500</v>
      </c>
      <c r="W65" s="1919" t="s">
        <v>1203</v>
      </c>
      <c r="X65" s="1879" t="s">
        <v>1163</v>
      </c>
      <c r="Y65" s="1894" t="s">
        <v>1146</v>
      </c>
      <c r="Z65" s="1894" t="s">
        <v>1199</v>
      </c>
      <c r="AA65" s="1894" t="s">
        <v>1200</v>
      </c>
    </row>
    <row r="66" spans="1:27" s="1166" customFormat="1" ht="27.6">
      <c r="A66" s="1229">
        <f>A65+1</f>
        <v>8</v>
      </c>
      <c r="B66" s="1176" t="s">
        <v>501</v>
      </c>
      <c r="C66" s="1191">
        <f>'Sugeridos-estancia-gasto'!G7</f>
        <v>106</v>
      </c>
      <c r="D66" s="1192">
        <f>'Sugeridos-estancia-gasto'!H7</f>
        <v>89</v>
      </c>
      <c r="E66" s="1193">
        <f>'Sugeridos-estancia-gasto'!I7</f>
        <v>75</v>
      </c>
      <c r="F66" s="1194">
        <f>'Sugeridos-estancia-gasto'!J7</f>
        <v>114</v>
      </c>
      <c r="G66" s="1195">
        <f>'Sugeridos-estancia-gasto'!K7</f>
        <v>112.99411496055541</v>
      </c>
      <c r="H66" s="1196">
        <f>'Sugeridos-estancia-gasto'!L7</f>
        <v>118.15068493150686</v>
      </c>
      <c r="I66" s="1581">
        <f>'Sugeridos-estancia-gasto'!M7</f>
        <v>101.82895997841246</v>
      </c>
      <c r="J66" s="2237">
        <f>'Sugeridos-estancia-gasto'!N7</f>
        <v>100</v>
      </c>
      <c r="K66" s="2506">
        <f>'Sugeridos-estancia-gasto'!O7</f>
        <v>100</v>
      </c>
      <c r="L66" s="4772">
        <f>'Sugeridos-estancia-gasto'!P7</f>
        <v>100</v>
      </c>
      <c r="M66" s="1225" t="s">
        <v>590</v>
      </c>
      <c r="O66" s="5279"/>
      <c r="V66" s="1899" t="s">
        <v>501</v>
      </c>
      <c r="W66" s="1919" t="s">
        <v>1204</v>
      </c>
      <c r="X66" s="1879" t="s">
        <v>1163</v>
      </c>
      <c r="Y66" s="1894" t="s">
        <v>1146</v>
      </c>
      <c r="Z66" s="1894" t="s">
        <v>1199</v>
      </c>
      <c r="AA66" s="1894" t="s">
        <v>1200</v>
      </c>
    </row>
    <row r="67" spans="1:27" s="1166" customFormat="1" ht="27.6">
      <c r="A67" s="2827">
        <f>A66+1</f>
        <v>9</v>
      </c>
      <c r="B67" s="1176" t="s">
        <v>508</v>
      </c>
      <c r="C67" s="1191">
        <f>'Ingresos-divisas'!G18</f>
        <v>326.08048142306973</v>
      </c>
      <c r="D67" s="1192">
        <f>'Ingresos-divisas'!H18</f>
        <v>437.39520600457314</v>
      </c>
      <c r="E67" s="1193">
        <f>'Ingresos-divisas'!I18</f>
        <v>402.95932772507791</v>
      </c>
      <c r="F67" s="1194">
        <f>'Ingresos-divisas'!J18</f>
        <v>476.88278732000003</v>
      </c>
      <c r="G67" s="1195">
        <f>'Ingresos-divisas'!K18</f>
        <v>496.11003242000004</v>
      </c>
      <c r="H67" s="4773">
        <f>'Ingresos-divisas'!L18*1000000</f>
        <v>526169271.44000012</v>
      </c>
      <c r="I67" s="4774">
        <f>'Ingresos-divisas'!M18*1000000</f>
        <v>520013209.80000001</v>
      </c>
      <c r="J67" s="4775">
        <f>'Ingresos-divisas'!N18*1000000</f>
        <v>108417727.28999998</v>
      </c>
      <c r="K67" s="4776">
        <f>'Ingresos-divisas'!O18*1000000</f>
        <v>159990692.51999998</v>
      </c>
      <c r="L67" s="4777">
        <f>'Ingresos-divisas'!P18*1000000</f>
        <v>272381483.66999996</v>
      </c>
      <c r="M67" s="1225" t="s">
        <v>996</v>
      </c>
      <c r="O67" s="5279"/>
      <c r="V67" s="1899" t="s">
        <v>508</v>
      </c>
      <c r="W67" s="1919" t="s">
        <v>508</v>
      </c>
      <c r="X67" s="1879" t="s">
        <v>1163</v>
      </c>
      <c r="Y67" s="1894" t="s">
        <v>1146</v>
      </c>
      <c r="Z67" s="1894" t="s">
        <v>1199</v>
      </c>
      <c r="AA67" s="1894" t="s">
        <v>1200</v>
      </c>
    </row>
    <row r="68" spans="1:27" s="1166" customFormat="1" ht="27.6">
      <c r="A68" s="1229">
        <f>A67+1</f>
        <v>10</v>
      </c>
      <c r="B68" s="1176" t="s">
        <v>174</v>
      </c>
      <c r="C68" s="5165" t="s">
        <v>548</v>
      </c>
      <c r="D68" s="5165"/>
      <c r="E68" s="5165"/>
      <c r="F68" s="5165"/>
      <c r="G68" s="5165"/>
      <c r="H68" s="5165"/>
      <c r="I68" s="5165"/>
      <c r="J68" s="5165"/>
      <c r="K68" s="5165"/>
      <c r="L68" s="5166"/>
      <c r="M68" s="5167"/>
      <c r="O68" s="5279"/>
      <c r="V68" s="1899" t="s">
        <v>174</v>
      </c>
      <c r="W68" s="1899" t="s">
        <v>1205</v>
      </c>
      <c r="X68" s="1894" t="s">
        <v>1140</v>
      </c>
      <c r="Y68" s="1894" t="s">
        <v>1146</v>
      </c>
      <c r="Z68" s="1894" t="s">
        <v>1199</v>
      </c>
      <c r="AA68" s="1894" t="s">
        <v>1200</v>
      </c>
    </row>
    <row r="69" spans="1:27" s="1166" customFormat="1">
      <c r="A69" s="1228"/>
      <c r="B69" s="1186"/>
      <c r="C69" s="1197"/>
      <c r="D69" s="1197"/>
      <c r="E69" s="1197"/>
      <c r="F69" s="1197"/>
      <c r="G69" s="1197"/>
      <c r="H69" s="1197"/>
      <c r="I69" s="1197"/>
      <c r="J69" s="1197"/>
      <c r="K69" s="1197"/>
      <c r="L69" s="1197"/>
      <c r="M69" s="1232"/>
      <c r="O69" s="3791"/>
      <c r="V69" s="1896"/>
      <c r="W69" s="1920"/>
      <c r="X69" s="1880"/>
      <c r="Y69" s="1880"/>
      <c r="Z69" s="1880"/>
      <c r="AA69" s="1880"/>
    </row>
    <row r="70" spans="1:27" ht="15" thickBot="1">
      <c r="A70" s="1231"/>
      <c r="B70" s="1189"/>
      <c r="C70" s="1190"/>
      <c r="D70" s="1190"/>
      <c r="E70" s="1190"/>
      <c r="F70" s="1190"/>
      <c r="G70" s="1190"/>
      <c r="H70" s="1187"/>
      <c r="I70" s="1197"/>
      <c r="J70" s="1197"/>
      <c r="K70" s="1197"/>
      <c r="L70" s="1197"/>
      <c r="M70" s="1232"/>
      <c r="V70" s="1568"/>
      <c r="W70" s="1920"/>
      <c r="X70" s="1880"/>
      <c r="Y70" s="1880"/>
      <c r="Z70" s="1880"/>
      <c r="AA70" s="1880"/>
    </row>
    <row r="71" spans="1:27" s="1166" customFormat="1">
      <c r="A71" s="1245"/>
      <c r="B71" s="1246" t="s">
        <v>445</v>
      </c>
      <c r="C71" s="1247">
        <v>2013</v>
      </c>
      <c r="D71" s="1248">
        <v>2014</v>
      </c>
      <c r="E71" s="1249">
        <f>E55</f>
        <v>2015</v>
      </c>
      <c r="F71" s="1250">
        <f>F55</f>
        <v>2016</v>
      </c>
      <c r="G71" s="1251" t="s">
        <v>578</v>
      </c>
      <c r="H71" s="1252" t="s">
        <v>813</v>
      </c>
      <c r="I71" s="1580" t="s">
        <v>1076</v>
      </c>
      <c r="J71" s="2238" t="s">
        <v>1395</v>
      </c>
      <c r="K71" s="2471" t="s">
        <v>1419</v>
      </c>
      <c r="L71" s="4780" t="s">
        <v>1936</v>
      </c>
      <c r="M71" s="1253" t="s">
        <v>582</v>
      </c>
      <c r="O71" s="3791"/>
      <c r="V71" s="1906" t="s">
        <v>445</v>
      </c>
      <c r="W71" s="1918"/>
      <c r="X71" s="1906"/>
      <c r="Y71" s="1906"/>
      <c r="Z71" s="1906"/>
      <c r="AA71" s="1906"/>
    </row>
    <row r="72" spans="1:27" s="1166" customFormat="1" ht="28.8">
      <c r="A72" s="2828">
        <f>A68+1</f>
        <v>11</v>
      </c>
      <c r="B72" s="4787" t="s">
        <v>1942</v>
      </c>
      <c r="C72" s="2223"/>
      <c r="D72" s="2223"/>
      <c r="E72" s="2223"/>
      <c r="F72" s="2223"/>
      <c r="G72" s="2223"/>
      <c r="H72" s="2224">
        <f>'TOH (hist) '!N5</f>
        <v>46.433055555555562</v>
      </c>
      <c r="I72" s="2225"/>
      <c r="J72" s="3703"/>
      <c r="L72" s="4781"/>
      <c r="M72" s="5277" t="s">
        <v>33</v>
      </c>
      <c r="O72" s="5282" t="s">
        <v>1941</v>
      </c>
      <c r="P72" s="5276" t="s">
        <v>1039</v>
      </c>
      <c r="Q72" s="5276"/>
      <c r="R72" s="5276"/>
      <c r="S72" s="5276"/>
      <c r="T72" s="5276"/>
      <c r="V72" s="1930" t="s">
        <v>1217</v>
      </c>
      <c r="W72" s="1879" t="s">
        <v>1210</v>
      </c>
      <c r="X72" s="1879" t="s">
        <v>33</v>
      </c>
      <c r="Y72" s="1879" t="s">
        <v>1206</v>
      </c>
      <c r="Z72" s="1879" t="s">
        <v>1207</v>
      </c>
      <c r="AA72" s="1879" t="s">
        <v>1149</v>
      </c>
    </row>
    <row r="73" spans="1:27" s="1166" customFormat="1" ht="27.6">
      <c r="A73" s="2226"/>
      <c r="B73" s="2227" t="s">
        <v>1576</v>
      </c>
      <c r="C73" s="2228">
        <f>'TOH (hist) '!I5</f>
        <v>58.003843053502898</v>
      </c>
      <c r="D73" s="2229">
        <f>'TOH (hist) '!J5</f>
        <v>56.91449749144774</v>
      </c>
      <c r="E73" s="2230">
        <f>'TOH (hist) '!K5</f>
        <v>52.646506184060037</v>
      </c>
      <c r="F73" s="2231">
        <f>'TOH (hist) '!L5</f>
        <v>46.512730614023319</v>
      </c>
      <c r="G73" s="2222">
        <f>'TOH (hist) '!M5</f>
        <v>46.020581605453351</v>
      </c>
      <c r="H73" s="2222">
        <f>'TOH (hist) '!O5</f>
        <v>50.197122475217498</v>
      </c>
      <c r="I73" s="2225">
        <f>'TOH (hist) '!P5</f>
        <v>35.67</v>
      </c>
      <c r="J73" s="3704">
        <f>'TOH (hist) '!Q5</f>
        <v>9.39</v>
      </c>
      <c r="K73" s="4779">
        <f>'TOH (hist) '!R5</f>
        <v>20.21</v>
      </c>
      <c r="L73" s="4778">
        <f>'TOH (hist) '!S5</f>
        <v>43.677499999999995</v>
      </c>
      <c r="M73" s="5278"/>
      <c r="O73" s="5283"/>
      <c r="P73" s="5276"/>
      <c r="Q73" s="5276"/>
      <c r="R73" s="5276"/>
      <c r="S73" s="5276"/>
      <c r="T73" s="5276"/>
      <c r="V73" s="1895" t="s">
        <v>1220</v>
      </c>
      <c r="W73" s="1879" t="s">
        <v>1208</v>
      </c>
      <c r="X73" s="1879" t="s">
        <v>33</v>
      </c>
      <c r="Y73" s="1879" t="s">
        <v>1188</v>
      </c>
      <c r="Z73" s="1879" t="s">
        <v>1209</v>
      </c>
      <c r="AA73" s="1879" t="s">
        <v>1200</v>
      </c>
    </row>
    <row r="74" spans="1:27" s="1166" customFormat="1" ht="28.8">
      <c r="A74" s="1238">
        <f>A72+1</f>
        <v>12</v>
      </c>
      <c r="B74" s="1185" t="s">
        <v>1943</v>
      </c>
      <c r="H74" s="1213">
        <f>'TOH (hist) '!N6</f>
        <v>58.598333333333329</v>
      </c>
      <c r="I74" s="1598"/>
      <c r="J74" s="3703"/>
      <c r="L74" s="4781"/>
      <c r="M74" s="5255" t="s">
        <v>33</v>
      </c>
      <c r="O74" s="5283"/>
      <c r="P74" s="5276"/>
      <c r="Q74" s="5276"/>
      <c r="R74" s="5276"/>
      <c r="S74" s="5276"/>
      <c r="T74" s="5276"/>
      <c r="V74" s="1895" t="s">
        <v>1221</v>
      </c>
      <c r="W74" s="1879" t="s">
        <v>1211</v>
      </c>
      <c r="X74" s="1879" t="s">
        <v>33</v>
      </c>
      <c r="Y74" s="1879" t="s">
        <v>1206</v>
      </c>
      <c r="Z74" s="1879" t="s">
        <v>1207</v>
      </c>
      <c r="AA74" s="1879" t="s">
        <v>1149</v>
      </c>
    </row>
    <row r="75" spans="1:27" s="1166" customFormat="1" ht="27.6">
      <c r="A75" s="1234"/>
      <c r="B75" s="1233"/>
      <c r="C75" s="1191">
        <f>'TOH (hist) '!I6</f>
        <v>72.996543651867498</v>
      </c>
      <c r="D75" s="1192">
        <f>'TOH (hist) '!J6</f>
        <v>71.928309465167587</v>
      </c>
      <c r="E75" s="1193">
        <f>'TOH (hist) '!K6</f>
        <v>64.822142260364402</v>
      </c>
      <c r="F75" s="1194">
        <f>'TOH (hist) '!L6</f>
        <v>56.255716656902933</v>
      </c>
      <c r="G75" s="1195">
        <f>'TOH (hist) '!M6</f>
        <v>55.680000000000007</v>
      </c>
      <c r="H75" s="1574">
        <f>'TOH (hist) '!O6</f>
        <v>58.598333333333329</v>
      </c>
      <c r="I75" s="1581">
        <f>'TOH (hist) '!P6</f>
        <v>49.59</v>
      </c>
      <c r="J75" s="3704">
        <f>'TOH (hist) '!Q6</f>
        <v>17.36</v>
      </c>
      <c r="K75" s="4779">
        <f>'TOH (hist) '!R6</f>
        <v>31.02</v>
      </c>
      <c r="L75" s="4778">
        <f>'TOH (hist) '!S6</f>
        <v>42.28</v>
      </c>
      <c r="M75" s="5256"/>
      <c r="O75" s="5283"/>
      <c r="P75" s="5276"/>
      <c r="Q75" s="5276"/>
      <c r="R75" s="5276"/>
      <c r="S75" s="5276"/>
      <c r="T75" s="5276"/>
      <c r="V75" s="1896" t="s">
        <v>1222</v>
      </c>
      <c r="W75" s="1879" t="s">
        <v>1212</v>
      </c>
      <c r="X75" s="1879" t="s">
        <v>33</v>
      </c>
      <c r="Y75" s="1879" t="s">
        <v>1188</v>
      </c>
      <c r="Z75" s="1879" t="s">
        <v>1209</v>
      </c>
      <c r="AA75" s="1879" t="s">
        <v>1200</v>
      </c>
    </row>
    <row r="76" spans="1:27" s="1166" customFormat="1" ht="28.8">
      <c r="A76" s="2829">
        <f>A74+1</f>
        <v>13</v>
      </c>
      <c r="B76" s="1176" t="s">
        <v>1944</v>
      </c>
      <c r="H76" s="1196">
        <f>'TOH (hist) '!N7</f>
        <v>55</v>
      </c>
      <c r="I76" s="1581"/>
      <c r="J76" s="3703"/>
      <c r="L76" s="4781"/>
      <c r="M76" s="5255" t="s">
        <v>33</v>
      </c>
      <c r="O76" s="5283"/>
      <c r="P76" s="5276"/>
      <c r="Q76" s="5276"/>
      <c r="R76" s="5276"/>
      <c r="S76" s="5276"/>
      <c r="T76" s="5276"/>
      <c r="V76" s="1899" t="s">
        <v>1218</v>
      </c>
      <c r="W76" s="1879" t="s">
        <v>1213</v>
      </c>
      <c r="X76" s="1879" t="s">
        <v>33</v>
      </c>
      <c r="Y76" s="1879" t="s">
        <v>1206</v>
      </c>
      <c r="Z76" s="1879" t="s">
        <v>1207</v>
      </c>
      <c r="AA76" s="1879" t="s">
        <v>1149</v>
      </c>
    </row>
    <row r="77" spans="1:27" s="1166" customFormat="1" ht="27.6">
      <c r="A77" s="1235"/>
      <c r="B77" s="1233"/>
      <c r="C77" s="1191">
        <f>'TOH (hist) '!I7</f>
        <v>61.425279513620964</v>
      </c>
      <c r="D77" s="1192">
        <f>'TOH (hist) '!J7</f>
        <v>61.063023474311244</v>
      </c>
      <c r="E77" s="1193">
        <f>'TOH (hist) '!K7</f>
        <v>55.378711204374724</v>
      </c>
      <c r="F77" s="1194">
        <f>'TOH (hist) '!L7</f>
        <v>48.255950576103231</v>
      </c>
      <c r="G77" s="1195">
        <f>'TOH (hist) '!M7</f>
        <v>50.666666666666664</v>
      </c>
      <c r="H77" s="1574">
        <f>'TOH (hist) '!O7</f>
        <v>55</v>
      </c>
      <c r="I77" s="1581">
        <f>'TOH (hist) '!P7</f>
        <v>38.630000000000003</v>
      </c>
      <c r="J77" s="3704">
        <f>'TOH (hist) '!Q7</f>
        <v>6.73</v>
      </c>
      <c r="K77" s="4779">
        <f>'TOH (hist) '!R7</f>
        <v>22.01</v>
      </c>
      <c r="L77" s="4778">
        <f>'TOH (hist) '!S7</f>
        <v>45.814999999999998</v>
      </c>
      <c r="M77" s="5256"/>
      <c r="O77" s="5283"/>
      <c r="P77" s="5276"/>
      <c r="Q77" s="5276"/>
      <c r="R77" s="5276"/>
      <c r="S77" s="5276"/>
      <c r="T77" s="5276"/>
      <c r="V77" s="1896" t="s">
        <v>1223</v>
      </c>
      <c r="W77" s="1879" t="s">
        <v>1214</v>
      </c>
      <c r="X77" s="1879" t="s">
        <v>33</v>
      </c>
      <c r="Y77" s="1879" t="s">
        <v>1188</v>
      </c>
      <c r="Z77" s="1879" t="s">
        <v>1209</v>
      </c>
      <c r="AA77" s="1879" t="s">
        <v>1200</v>
      </c>
    </row>
    <row r="78" spans="1:27" s="1166" customFormat="1" ht="28.8">
      <c r="A78" s="1234">
        <f>A76+1</f>
        <v>14</v>
      </c>
      <c r="B78" s="1176" t="s">
        <v>1945</v>
      </c>
      <c r="C78" s="1599"/>
      <c r="D78" s="1599"/>
      <c r="E78" s="1599"/>
      <c r="F78" s="1599"/>
      <c r="G78" s="1599"/>
      <c r="H78" s="1196">
        <f>'TOH (hist) '!N8</f>
        <v>25.833333333333332</v>
      </c>
      <c r="I78" s="1581"/>
      <c r="J78" s="3703"/>
      <c r="L78" s="4781"/>
      <c r="M78" s="5255" t="s">
        <v>33</v>
      </c>
      <c r="O78" s="5283"/>
      <c r="P78" s="5276"/>
      <c r="Q78" s="5276"/>
      <c r="R78" s="5276"/>
      <c r="S78" s="5276"/>
      <c r="T78" s="5276"/>
      <c r="V78" s="1899" t="s">
        <v>1219</v>
      </c>
      <c r="W78" s="1879" t="s">
        <v>1215</v>
      </c>
      <c r="X78" s="1879" t="s">
        <v>33</v>
      </c>
      <c r="Y78" s="1879" t="s">
        <v>1206</v>
      </c>
      <c r="Z78" s="1879" t="s">
        <v>1207</v>
      </c>
      <c r="AA78" s="1879" t="s">
        <v>1149</v>
      </c>
    </row>
    <row r="79" spans="1:27" s="1166" customFormat="1" ht="27.6">
      <c r="A79" s="1234"/>
      <c r="B79" s="1600"/>
      <c r="C79" s="2221">
        <f>'TOH (hist) '!I8</f>
        <v>42.685597701509735</v>
      </c>
      <c r="D79" s="1192">
        <f>'TOH (hist) '!J8</f>
        <v>40.793439968219424</v>
      </c>
      <c r="E79" s="1193">
        <f>'TOH (hist) '!K8</f>
        <v>40.019455322143479</v>
      </c>
      <c r="F79" s="1194">
        <f>'TOH (hist) '!L8</f>
        <v>36.569361252115065</v>
      </c>
      <c r="G79" s="1195">
        <f>'TOH (hist) '!M8</f>
        <v>27.666666666666668</v>
      </c>
      <c r="H79" s="1574">
        <f>'TOH (hist) '!O8</f>
        <v>43.385741017973068</v>
      </c>
      <c r="I79" s="1581">
        <f>'TOH (hist) '!P8</f>
        <v>22.35</v>
      </c>
      <c r="J79" s="3704">
        <f>'TOH (hist) '!Q8</f>
        <v>6.46</v>
      </c>
      <c r="K79" s="4779">
        <f>'TOH (hist) '!R8</f>
        <v>13.15</v>
      </c>
      <c r="L79" s="4778">
        <f>'TOH (hist) '!S8</f>
        <v>23.14095683632884</v>
      </c>
      <c r="M79" s="5256"/>
      <c r="O79" s="5284"/>
      <c r="P79" s="1198"/>
      <c r="Q79" s="1198"/>
      <c r="R79" s="1198"/>
      <c r="S79" s="1198"/>
      <c r="T79" s="1198"/>
      <c r="V79" s="1896" t="s">
        <v>1224</v>
      </c>
      <c r="W79" s="1879" t="s">
        <v>1216</v>
      </c>
      <c r="X79" s="1879" t="s">
        <v>33</v>
      </c>
      <c r="Y79" s="1879" t="s">
        <v>1188</v>
      </c>
      <c r="Z79" s="1879" t="s">
        <v>1209</v>
      </c>
      <c r="AA79" s="1879" t="s">
        <v>1200</v>
      </c>
    </row>
    <row r="80" spans="1:27" s="1166" customFormat="1">
      <c r="A80" s="1228"/>
      <c r="B80" s="1186"/>
      <c r="C80" s="1197"/>
      <c r="D80" s="1197"/>
      <c r="E80" s="1197"/>
      <c r="F80" s="1197"/>
      <c r="G80" s="1197"/>
      <c r="H80" s="1197"/>
      <c r="I80" s="1197"/>
      <c r="J80" s="1197"/>
      <c r="K80" s="1197"/>
      <c r="L80" s="1197"/>
      <c r="M80" s="1232"/>
      <c r="O80" s="3791"/>
      <c r="V80" s="2220"/>
      <c r="W80" s="1920"/>
      <c r="X80" s="1880"/>
      <c r="Y80" s="1880"/>
      <c r="Z80" s="1880"/>
      <c r="AA80" s="1880"/>
    </row>
    <row r="81" spans="1:27" ht="15" thickBot="1">
      <c r="A81" s="1231"/>
      <c r="B81" s="1189"/>
      <c r="C81" s="1190"/>
      <c r="D81" s="1190"/>
      <c r="E81" s="1190"/>
      <c r="F81" s="1190"/>
      <c r="G81" s="1190"/>
      <c r="H81" s="1187"/>
      <c r="I81" s="1197"/>
      <c r="J81" s="1197"/>
      <c r="K81" s="1197"/>
      <c r="L81" s="1197"/>
      <c r="M81" s="1232"/>
      <c r="V81" s="1568"/>
      <c r="W81" s="1920"/>
      <c r="X81" s="1880"/>
      <c r="Y81" s="1880"/>
      <c r="Z81" s="1880"/>
      <c r="AA81" s="1880"/>
    </row>
    <row r="82" spans="1:27" s="1166" customFormat="1">
      <c r="A82" s="1245"/>
      <c r="B82" s="1246"/>
      <c r="C82" s="1247"/>
      <c r="D82" s="1248"/>
      <c r="E82" s="1249"/>
      <c r="F82" s="1250"/>
      <c r="G82" s="1251" t="s">
        <v>578</v>
      </c>
      <c r="H82" s="1252" t="s">
        <v>813</v>
      </c>
      <c r="I82" s="1580" t="s">
        <v>1076</v>
      </c>
      <c r="J82" s="2238" t="s">
        <v>1417</v>
      </c>
      <c r="K82" s="2471" t="s">
        <v>1419</v>
      </c>
      <c r="L82" s="4757">
        <v>2022</v>
      </c>
      <c r="M82" s="1253" t="s">
        <v>582</v>
      </c>
      <c r="O82" s="3791"/>
      <c r="V82" s="1906"/>
      <c r="W82" s="1918"/>
      <c r="X82" s="1906"/>
      <c r="Y82" s="1906"/>
      <c r="Z82" s="1906"/>
      <c r="AA82" s="1906"/>
    </row>
    <row r="83" spans="1:27" s="1540" customFormat="1" ht="28.8">
      <c r="A83" s="2830">
        <f>A78+1</f>
        <v>15</v>
      </c>
      <c r="B83" s="1537" t="s">
        <v>1946</v>
      </c>
      <c r="C83" s="1538">
        <f>'Tarifa Promedio Hab ocupada'!GJ7</f>
        <v>70.816867591603753</v>
      </c>
      <c r="D83" s="1538">
        <f>'Tarifa Promedio Hab ocupada'!GK7</f>
        <v>74.546770196242463</v>
      </c>
      <c r="E83" s="1538">
        <f>'Tarifa Promedio Hab ocupada'!GL7</f>
        <v>74.014241640131232</v>
      </c>
      <c r="F83" s="1842">
        <f>'Tarifa Promedio Hab ocupada'!GM7</f>
        <v>75.128842081056305</v>
      </c>
      <c r="G83" s="1845">
        <f>'Tarifa Promedio Hab ocupada'!GN7</f>
        <v>74.830703976826754</v>
      </c>
      <c r="H83" s="1538">
        <f>'Tarifa Promedio Hab ocupada'!GO7</f>
        <v>73.867485097172107</v>
      </c>
      <c r="I83" s="1582">
        <f>'Tarifa Promedio Hab ocupada'!GP7</f>
        <v>76.849999999999994</v>
      </c>
      <c r="J83" s="2239">
        <f>'Tarifa Promedio Hab ocupada'!GQ7</f>
        <v>72.569999999999993</v>
      </c>
      <c r="K83" s="2479">
        <f>'Tarifa Promedio Hab ocupada'!GR7</f>
        <v>86.74</v>
      </c>
      <c r="L83" s="4880">
        <f>'Tarifa Promedio Hab ocupada'!GS7</f>
        <v>68.163611420598201</v>
      </c>
      <c r="M83" s="1539" t="s">
        <v>172</v>
      </c>
      <c r="O83" s="5282" t="s">
        <v>1977</v>
      </c>
      <c r="V83" s="1908" t="s">
        <v>175</v>
      </c>
      <c r="W83" s="1909" t="s">
        <v>175</v>
      </c>
      <c r="X83" s="1909" t="s">
        <v>1163</v>
      </c>
      <c r="Y83" s="1909" t="s">
        <v>1188</v>
      </c>
      <c r="Z83" s="1909" t="s">
        <v>1209</v>
      </c>
      <c r="AA83" s="1909" t="s">
        <v>1200</v>
      </c>
    </row>
    <row r="84" spans="1:27" s="1166" customFormat="1" ht="28.8">
      <c r="A84" s="1234">
        <f t="shared" ref="A84:A90" si="2">A83+1</f>
        <v>16</v>
      </c>
      <c r="B84" s="1176" t="s">
        <v>1947</v>
      </c>
      <c r="C84" s="1541">
        <f>'Tarifa Promedio Hab ocupada'!GJ8</f>
        <v>107.48127913034415</v>
      </c>
      <c r="D84" s="1541">
        <f>'Tarifa Promedio Hab ocupada'!GK8</f>
        <v>108.36970892473407</v>
      </c>
      <c r="E84" s="1541">
        <f>'Tarifa Promedio Hab ocupada'!GL8</f>
        <v>109.76973658136149</v>
      </c>
      <c r="F84" s="1843">
        <f>'Tarifa Promedio Hab ocupada'!GM8</f>
        <v>111.32438408792268</v>
      </c>
      <c r="G84" s="1846">
        <f>'Tarifa Promedio Hab ocupada'!GN8</f>
        <v>110.77102068584797</v>
      </c>
      <c r="H84" s="1541">
        <f>'Tarifa Promedio Hab ocupada'!GO8</f>
        <v>100.971</v>
      </c>
      <c r="I84" s="1583">
        <f>'Tarifa Promedio Hab ocupada'!GP8</f>
        <v>97.01</v>
      </c>
      <c r="J84" s="2240">
        <f>'Tarifa Promedio Hab ocupada'!GQ8</f>
        <v>101.03</v>
      </c>
      <c r="K84" s="2480">
        <f>'Tarifa Promedio Hab ocupada'!GR8</f>
        <v>118.27</v>
      </c>
      <c r="L84" s="4881">
        <f>'Tarifa Promedio Hab ocupada'!GS8</f>
        <v>101.4825</v>
      </c>
      <c r="M84" s="1225" t="s">
        <v>172</v>
      </c>
      <c r="O84" s="5283"/>
      <c r="V84" s="1899" t="s">
        <v>1052</v>
      </c>
      <c r="W84" s="1881" t="s">
        <v>1225</v>
      </c>
      <c r="X84" s="1881" t="s">
        <v>1163</v>
      </c>
      <c r="Y84" s="1881" t="s">
        <v>1188</v>
      </c>
      <c r="Z84" s="1881" t="s">
        <v>1209</v>
      </c>
      <c r="AA84" s="1881" t="s">
        <v>1200</v>
      </c>
    </row>
    <row r="85" spans="1:27" s="1166" customFormat="1" ht="28.8">
      <c r="A85" s="2829">
        <f t="shared" si="2"/>
        <v>17</v>
      </c>
      <c r="B85" s="1176" t="s">
        <v>1948</v>
      </c>
      <c r="C85" s="1541">
        <f>'Tarifa Promedio Hab ocupada'!GJ9</f>
        <v>65.881004587108848</v>
      </c>
      <c r="D85" s="1541">
        <f>'Tarifa Promedio Hab ocupada'!GK9</f>
        <v>71.127635656641971</v>
      </c>
      <c r="E85" s="1541">
        <f>'Tarifa Promedio Hab ocupada'!GL9</f>
        <v>70.751485187846001</v>
      </c>
      <c r="F85" s="1843">
        <f>'Tarifa Promedio Hab ocupada'!GM9</f>
        <v>73.191647386778854</v>
      </c>
      <c r="G85" s="1846">
        <f>'Tarifa Promedio Hab ocupada'!GN9</f>
        <v>72.461903330985947</v>
      </c>
      <c r="H85" s="1541">
        <f>'Tarifa Promedio Hab ocupada'!GO9</f>
        <v>65.051999999999992</v>
      </c>
      <c r="I85" s="1583">
        <f>'Tarifa Promedio Hab ocupada'!GP9</f>
        <v>78.28</v>
      </c>
      <c r="J85" s="2240">
        <f>'Tarifa Promedio Hab ocupada'!GQ9</f>
        <v>73.77</v>
      </c>
      <c r="K85" s="2480">
        <f>'Tarifa Promedio Hab ocupada'!GR9</f>
        <v>83.98</v>
      </c>
      <c r="L85" s="4881">
        <f>'Tarifa Promedio Hab ocupada'!GS9</f>
        <v>59.494999999999997</v>
      </c>
      <c r="M85" s="1225" t="s">
        <v>172</v>
      </c>
      <c r="O85" s="5283"/>
      <c r="V85" s="1899" t="s">
        <v>1053</v>
      </c>
      <c r="W85" s="1881" t="s">
        <v>1226</v>
      </c>
      <c r="X85" s="1881" t="s">
        <v>1163</v>
      </c>
      <c r="Y85" s="1881" t="s">
        <v>1188</v>
      </c>
      <c r="Z85" s="1881" t="s">
        <v>1209</v>
      </c>
      <c r="AA85" s="1881" t="s">
        <v>1200</v>
      </c>
    </row>
    <row r="86" spans="1:27" s="1166" customFormat="1" ht="29.4" thickBot="1">
      <c r="A86" s="1236">
        <f t="shared" si="2"/>
        <v>18</v>
      </c>
      <c r="B86" s="1199" t="s">
        <v>1949</v>
      </c>
      <c r="C86" s="1542">
        <f>'Tarifa Promedio Hab ocupada'!GJ10</f>
        <v>25.571024828160251</v>
      </c>
      <c r="D86" s="1542">
        <f>'Tarifa Promedio Hab ocupada'!GK10</f>
        <v>30.034124512722617</v>
      </c>
      <c r="E86" s="1542">
        <f>'Tarifa Promedio Hab ocupada'!GL10</f>
        <v>29.809169797596006</v>
      </c>
      <c r="F86" s="1844">
        <f>'Tarifa Promedio Hab ocupada'!GM10</f>
        <v>29.263269989189585</v>
      </c>
      <c r="G86" s="1847">
        <f>'Tarifa Promedio Hab ocupada'!GN10</f>
        <v>29.566671308973152</v>
      </c>
      <c r="H86" s="1542">
        <f>'Tarifa Promedio Hab ocupada'!GO10</f>
        <v>33</v>
      </c>
      <c r="I86" s="1584">
        <f>'Tarifa Promedio Hab ocupada'!GP10</f>
        <v>41.45</v>
      </c>
      <c r="J86" s="2241">
        <f>'Tarifa Promedio Hab ocupada'!GQ10</f>
        <v>53.37</v>
      </c>
      <c r="K86" s="2481">
        <f>'Tarifa Promedio Hab ocupada'!GR10</f>
        <v>60.18</v>
      </c>
      <c r="L86" s="4882">
        <f>'Tarifa Promedio Hab ocupada'!GS10</f>
        <v>43.513334261794633</v>
      </c>
      <c r="M86" s="1237" t="s">
        <v>172</v>
      </c>
      <c r="O86" s="5283"/>
      <c r="V86" s="1900" t="s">
        <v>1054</v>
      </c>
      <c r="W86" s="1882" t="s">
        <v>1227</v>
      </c>
      <c r="X86" s="1882" t="s">
        <v>1163</v>
      </c>
      <c r="Y86" s="1882" t="s">
        <v>1188</v>
      </c>
      <c r="Z86" s="1882" t="s">
        <v>1209</v>
      </c>
      <c r="AA86" s="1882" t="s">
        <v>1200</v>
      </c>
    </row>
    <row r="87" spans="1:27" s="1540" customFormat="1" ht="29.4" thickTop="1">
      <c r="A87" s="2830">
        <f t="shared" si="2"/>
        <v>19</v>
      </c>
      <c r="B87" s="1537" t="s">
        <v>1951</v>
      </c>
      <c r="C87" s="1569">
        <v>1.5954468689699381</v>
      </c>
      <c r="D87" s="1570">
        <f>'Estancia hotelera'!L19</f>
        <v>1.6156575134046374</v>
      </c>
      <c r="E87" s="1571">
        <f>'Estancia hotelera'!M19</f>
        <v>1.5855894194982867</v>
      </c>
      <c r="F87" s="1572">
        <f>'Estancia hotelera'!N19</f>
        <v>1.5566332188277681</v>
      </c>
      <c r="G87" s="1573">
        <f>'Estancia hotelera'!O19</f>
        <v>1.5448134813886878</v>
      </c>
      <c r="H87" s="1570">
        <f>'Estancia hotelera'!P19</f>
        <v>1.5756734082798449</v>
      </c>
      <c r="I87" s="1585">
        <f>'Estancia hotelera'!Q19</f>
        <v>1.48</v>
      </c>
      <c r="J87" s="2242">
        <f>'Estancia hotelera'!R19</f>
        <v>1.48</v>
      </c>
      <c r="K87" s="2482">
        <f>'Estancia hotelera'!S19</f>
        <v>1.1399999999999999</v>
      </c>
      <c r="L87" s="4788">
        <f>'Estancia hotelera'!T19</f>
        <v>1.4440973779337065</v>
      </c>
      <c r="M87" s="1539" t="s">
        <v>177</v>
      </c>
      <c r="O87" s="5283"/>
      <c r="V87" s="1908" t="s">
        <v>176</v>
      </c>
      <c r="W87" s="1910" t="s">
        <v>1228</v>
      </c>
      <c r="X87" s="1910" t="s">
        <v>1232</v>
      </c>
      <c r="Y87" s="1910" t="s">
        <v>1188</v>
      </c>
      <c r="Z87" s="1910" t="s">
        <v>1209</v>
      </c>
      <c r="AA87" s="1910" t="s">
        <v>1200</v>
      </c>
    </row>
    <row r="88" spans="1:27" s="1166" customFormat="1" ht="28.8">
      <c r="A88" s="1234">
        <f t="shared" si="2"/>
        <v>20</v>
      </c>
      <c r="B88" s="1176" t="s">
        <v>1950</v>
      </c>
      <c r="C88" s="1203">
        <v>1.6793686513898753</v>
      </c>
      <c r="D88" s="1204">
        <f>'Estancia hotelera'!L16</f>
        <v>1.7163406179145451</v>
      </c>
      <c r="E88" s="1205">
        <f>'Estancia hotelera'!M16</f>
        <v>1.707987782490568</v>
      </c>
      <c r="F88" s="1206">
        <f>'Estancia hotelera'!N16</f>
        <v>1.672298398929029</v>
      </c>
      <c r="G88" s="1207">
        <f>'Estancia hotelera'!O16</f>
        <v>1.6794015480118631</v>
      </c>
      <c r="H88" s="1204">
        <f>'Estancia hotelera'!P16</f>
        <v>1.6940070868365014</v>
      </c>
      <c r="I88" s="1586">
        <f>'Estancia hotelera'!Q16</f>
        <v>1.73</v>
      </c>
      <c r="J88" s="2243">
        <f>'Estancia hotelera'!R16</f>
        <v>2.06</v>
      </c>
      <c r="K88" s="2483">
        <f>'Estancia hotelera'!S16</f>
        <v>1.03</v>
      </c>
      <c r="L88" s="4789">
        <f>'Estancia hotelera'!T16</f>
        <v>1.6386817269696727</v>
      </c>
      <c r="M88" s="1225" t="s">
        <v>177</v>
      </c>
      <c r="O88" s="5283"/>
      <c r="V88" s="1899" t="s">
        <v>1055</v>
      </c>
      <c r="W88" s="1883" t="s">
        <v>1230</v>
      </c>
      <c r="X88" s="1883" t="s">
        <v>1232</v>
      </c>
      <c r="Y88" s="1883" t="s">
        <v>1188</v>
      </c>
      <c r="Z88" s="1883" t="s">
        <v>1209</v>
      </c>
      <c r="AA88" s="1883" t="s">
        <v>1200</v>
      </c>
    </row>
    <row r="89" spans="1:27" s="1166" customFormat="1" ht="28.8">
      <c r="A89" s="2829">
        <f t="shared" si="2"/>
        <v>21</v>
      </c>
      <c r="B89" s="1176" t="s">
        <v>1952</v>
      </c>
      <c r="C89" s="1203">
        <v>1.6993283773797931</v>
      </c>
      <c r="D89" s="1204">
        <f>'Estancia hotelera'!L17</f>
        <v>1.5809865305383213</v>
      </c>
      <c r="E89" s="1205">
        <f>'Estancia hotelera'!M17</f>
        <v>1.5535594304643294</v>
      </c>
      <c r="F89" s="1206">
        <f>'Estancia hotelera'!N17</f>
        <v>1.5537887147871752</v>
      </c>
      <c r="G89" s="1207">
        <f>'Estancia hotelera'!O17</f>
        <v>1.5315145834595965</v>
      </c>
      <c r="H89" s="1204">
        <f>'Estancia hotelera'!P17</f>
        <v>1.5549623148123557</v>
      </c>
      <c r="I89" s="1586">
        <f>'Estancia hotelera'!Q17</f>
        <v>1.4</v>
      </c>
      <c r="J89" s="2243">
        <f>'Estancia hotelera'!R17</f>
        <v>1.1000000000000001</v>
      </c>
      <c r="K89" s="2483" t="str">
        <f>'Estancia hotelera'!S17</f>
        <v>1,,15</v>
      </c>
      <c r="L89" s="4789">
        <f>'Estancia hotelera'!T17</f>
        <v>1.396619224567988</v>
      </c>
      <c r="M89" s="1225" t="s">
        <v>177</v>
      </c>
      <c r="O89" s="5283"/>
      <c r="V89" s="1899" t="s">
        <v>1056</v>
      </c>
      <c r="W89" s="1883" t="s">
        <v>1229</v>
      </c>
      <c r="X89" s="1883" t="s">
        <v>1232</v>
      </c>
      <c r="Y89" s="1883" t="s">
        <v>1188</v>
      </c>
      <c r="Z89" s="1883" t="s">
        <v>1209</v>
      </c>
      <c r="AA89" s="1883" t="s">
        <v>1200</v>
      </c>
    </row>
    <row r="90" spans="1:27" s="1166" customFormat="1" ht="28.8">
      <c r="A90" s="1238">
        <f t="shared" si="2"/>
        <v>22</v>
      </c>
      <c r="B90" s="1185" t="s">
        <v>1953</v>
      </c>
      <c r="C90" s="1208">
        <v>1.3756954837204702</v>
      </c>
      <c r="D90" s="1209">
        <f>'Estancia hotelera'!L18</f>
        <v>1.5242255498597903</v>
      </c>
      <c r="E90" s="1210">
        <f>'Estancia hotelera'!M18</f>
        <v>1.4809016616053134</v>
      </c>
      <c r="F90" s="1211">
        <f>'Estancia hotelera'!N18</f>
        <v>1.4348377511665937</v>
      </c>
      <c r="G90" s="1212">
        <f>'Estancia hotelera'!O18</f>
        <v>1.4157283717951621</v>
      </c>
      <c r="H90" s="1209">
        <f>'Estancia hotelera'!P18</f>
        <v>1.463923333606715</v>
      </c>
      <c r="I90" s="1587">
        <f>'Estancia hotelera'!Q18</f>
        <v>1.24</v>
      </c>
      <c r="J90" s="2244">
        <f>'Estancia hotelera'!R18</f>
        <v>1.66</v>
      </c>
      <c r="K90" s="2484">
        <f>'Estancia hotelera'!S18</f>
        <v>1.18</v>
      </c>
      <c r="L90" s="4790">
        <f>'Estancia hotelera'!T18</f>
        <v>1.3919303410803754</v>
      </c>
      <c r="M90" s="1227" t="s">
        <v>177</v>
      </c>
      <c r="O90" s="5284"/>
      <c r="V90" s="1895" t="s">
        <v>1057</v>
      </c>
      <c r="W90" s="1884" t="s">
        <v>1231</v>
      </c>
      <c r="X90" s="1884" t="s">
        <v>1232</v>
      </c>
      <c r="Y90" s="1884" t="s">
        <v>1188</v>
      </c>
      <c r="Z90" s="1884" t="s">
        <v>1209</v>
      </c>
      <c r="AA90" s="1884" t="s">
        <v>1200</v>
      </c>
    </row>
    <row r="91" spans="1:27" s="1166" customFormat="1" ht="31.8" customHeight="1">
      <c r="A91" s="1228"/>
      <c r="B91" s="1186"/>
      <c r="C91" s="1200"/>
      <c r="D91" s="1201"/>
      <c r="E91" s="1202"/>
      <c r="F91" s="1200"/>
      <c r="G91" s="1200"/>
      <c r="H91" s="1197"/>
      <c r="I91" s="1200"/>
      <c r="J91" s="1200"/>
      <c r="K91" s="1200"/>
      <c r="L91" s="1200"/>
      <c r="M91" s="1226"/>
      <c r="O91" s="3791"/>
      <c r="V91" s="1896"/>
      <c r="W91" s="1921"/>
      <c r="X91" s="1885"/>
      <c r="Y91" s="1885"/>
      <c r="Z91" s="1885"/>
      <c r="AA91" s="1885"/>
    </row>
    <row r="92" spans="1:27" ht="15" thickBot="1">
      <c r="A92" s="1231"/>
      <c r="B92" s="1189"/>
      <c r="C92" s="1188"/>
      <c r="D92" s="1188"/>
      <c r="E92" s="1188"/>
      <c r="F92" s="1188"/>
      <c r="G92" s="1188"/>
      <c r="H92" s="1188"/>
      <c r="I92" s="1188"/>
      <c r="J92" s="1188"/>
      <c r="K92" s="1188"/>
      <c r="L92" s="1188"/>
      <c r="M92" s="1840"/>
      <c r="V92" s="1568"/>
      <c r="W92" s="1867"/>
      <c r="X92" s="1568"/>
      <c r="Y92" s="1568"/>
      <c r="Z92" s="1568"/>
      <c r="AA92" s="1568"/>
    </row>
    <row r="93" spans="1:27" s="1166" customFormat="1">
      <c r="A93" s="1245"/>
      <c r="B93" s="1246" t="s">
        <v>301</v>
      </c>
      <c r="C93" s="1247">
        <v>2013</v>
      </c>
      <c r="D93" s="1248">
        <v>2014</v>
      </c>
      <c r="E93" s="1249">
        <v>2015</v>
      </c>
      <c r="F93" s="1250"/>
      <c r="G93" s="1251">
        <v>2017</v>
      </c>
      <c r="H93" s="1252">
        <v>2018</v>
      </c>
      <c r="I93" s="2100" t="s">
        <v>868</v>
      </c>
      <c r="J93" s="2245" t="s">
        <v>1395</v>
      </c>
      <c r="K93" s="2471" t="s">
        <v>1419</v>
      </c>
      <c r="L93" s="4757">
        <v>2022</v>
      </c>
      <c r="M93" s="1253" t="s">
        <v>582</v>
      </c>
      <c r="O93" s="3791"/>
      <c r="V93" s="1906" t="s">
        <v>301</v>
      </c>
      <c r="W93" s="1918"/>
      <c r="X93" s="1906"/>
      <c r="Y93" s="1906"/>
      <c r="Z93" s="1906"/>
      <c r="AA93" s="1906"/>
    </row>
    <row r="94" spans="1:27" s="1166" customFormat="1">
      <c r="A94" s="5151" t="s">
        <v>1127</v>
      </c>
      <c r="B94" s="5151"/>
      <c r="C94" s="1830"/>
      <c r="D94" s="1831"/>
      <c r="E94" s="1832"/>
      <c r="F94" s="1833"/>
      <c r="G94" s="1834"/>
      <c r="H94" s="1835"/>
      <c r="I94" s="1856"/>
      <c r="J94" s="2246"/>
      <c r="K94" s="2485"/>
      <c r="L94" s="4884"/>
      <c r="M94" s="1857"/>
      <c r="O94" s="3791"/>
      <c r="V94" s="1894"/>
      <c r="W94" s="1922"/>
      <c r="X94" s="1911"/>
      <c r="Y94" s="1911"/>
      <c r="Z94" s="1911"/>
      <c r="AA94" s="1911"/>
    </row>
    <row r="95" spans="1:27" s="1166" customFormat="1" ht="41.4">
      <c r="A95" s="5146">
        <f>A90+1</f>
        <v>23</v>
      </c>
      <c r="B95" s="5144" t="str">
        <f>'Actividades económicas TUR'!C4</f>
        <v>OPERACIÓN E INTERMEDIACIÓN TUR (AGENCIA DE VIAJES Y TURISMO)</v>
      </c>
      <c r="C95" s="1191">
        <f>'Actividades económicas TUR'!I4</f>
        <v>631</v>
      </c>
      <c r="D95" s="1215">
        <f>'Actividades económicas TUR'!J4</f>
        <v>679</v>
      </c>
      <c r="E95" s="1216">
        <f>'Actividades económicas TUR'!K4</f>
        <v>722</v>
      </c>
      <c r="F95" s="1217"/>
      <c r="G95" s="1218">
        <f>'Actividades económicas TUR'!M4</f>
        <v>739</v>
      </c>
      <c r="H95" s="1219">
        <f>'Actividades económicas TUR'!N4</f>
        <v>644</v>
      </c>
      <c r="I95" s="1588">
        <f>'Actividades económicas TUR'!O4</f>
        <v>730</v>
      </c>
      <c r="J95" s="2236">
        <f>'Actividades económicas TUR'!P4</f>
        <v>735</v>
      </c>
      <c r="K95" s="2486">
        <f>'Actividades económicas TUR'!Q4</f>
        <v>756</v>
      </c>
      <c r="L95" s="4885">
        <f>'Actividades económicas TUR'!R4</f>
        <v>790</v>
      </c>
      <c r="M95" s="1818" t="s">
        <v>597</v>
      </c>
      <c r="O95" s="5304" t="s">
        <v>1979</v>
      </c>
      <c r="P95" s="1836"/>
      <c r="Q95" s="1836"/>
      <c r="R95" s="1836"/>
      <c r="S95" s="1836"/>
      <c r="T95" s="1836"/>
      <c r="V95" s="1899" t="s">
        <v>1233</v>
      </c>
      <c r="W95" s="1937" t="s">
        <v>1238</v>
      </c>
      <c r="X95" s="1937" t="s">
        <v>597</v>
      </c>
      <c r="Y95" s="1937" t="s">
        <v>1206</v>
      </c>
      <c r="Z95" s="1879" t="s">
        <v>1207</v>
      </c>
      <c r="AA95" s="1937" t="s">
        <v>1174</v>
      </c>
    </row>
    <row r="96" spans="1:27" s="1220" customFormat="1">
      <c r="A96" s="5147"/>
      <c r="B96" s="5145"/>
      <c r="C96" s="2491"/>
      <c r="D96" s="2492"/>
      <c r="E96" s="2492"/>
      <c r="F96" s="2493"/>
      <c r="G96" s="2493">
        <f t="shared" ref="G96:L96" si="3">G95/G105</f>
        <v>0.14127317912445039</v>
      </c>
      <c r="H96" s="2493">
        <f t="shared" si="3"/>
        <v>0.14699840219128052</v>
      </c>
      <c r="I96" s="2494">
        <f t="shared" si="3"/>
        <v>0.15361952861952863</v>
      </c>
      <c r="J96" s="2495">
        <f t="shared" si="3"/>
        <v>0.15389447236180903</v>
      </c>
      <c r="K96" s="2496">
        <f t="shared" si="3"/>
        <v>0.15561959654178675</v>
      </c>
      <c r="L96" s="4886">
        <f t="shared" si="3"/>
        <v>0.15535889872173059</v>
      </c>
      <c r="M96" s="2497" t="s">
        <v>1028</v>
      </c>
      <c r="O96" s="5304"/>
      <c r="P96" s="1837"/>
      <c r="Q96" s="1837"/>
      <c r="R96" s="1837"/>
      <c r="S96" s="1837"/>
      <c r="T96" s="1837"/>
      <c r="V96" s="1899" t="s">
        <v>1244</v>
      </c>
      <c r="W96" s="1937" t="s">
        <v>1244</v>
      </c>
      <c r="X96" s="1937" t="s">
        <v>33</v>
      </c>
      <c r="Y96" s="1937" t="s">
        <v>1206</v>
      </c>
      <c r="Z96" s="1879" t="s">
        <v>1207</v>
      </c>
      <c r="AA96" s="1937" t="s">
        <v>1174</v>
      </c>
    </row>
    <row r="97" spans="1:27" s="1166" customFormat="1" ht="27.6">
      <c r="A97" s="5163">
        <f>A95+1</f>
        <v>24</v>
      </c>
      <c r="B97" s="5144" t="str">
        <f>'Actividades económicas TUR'!C5</f>
        <v xml:space="preserve">ALIMENTOS Y BEBIDAS </v>
      </c>
      <c r="C97" s="1191">
        <f>'Actividades económicas TUR'!I5</f>
        <v>3021</v>
      </c>
      <c r="D97" s="1215">
        <f>'Actividades económicas TUR'!J5</f>
        <v>3316</v>
      </c>
      <c r="E97" s="1216">
        <f>'Actividades económicas TUR'!K5</f>
        <v>3486</v>
      </c>
      <c r="F97" s="1217"/>
      <c r="G97" s="1218">
        <f>'Actividades económicas TUR'!M5</f>
        <v>3517</v>
      </c>
      <c r="H97" s="1219">
        <f>'Actividades económicas TUR'!N5</f>
        <v>2786</v>
      </c>
      <c r="I97" s="1588">
        <f>'Actividades económicas TUR'!O5</f>
        <v>2978</v>
      </c>
      <c r="J97" s="2236">
        <f>'Actividades económicas TUR'!P5</f>
        <v>2989</v>
      </c>
      <c r="K97" s="2486">
        <f>'Actividades económicas TUR'!Q5</f>
        <v>3199</v>
      </c>
      <c r="L97" s="4885">
        <f>'Actividades económicas TUR'!R5</f>
        <v>3386</v>
      </c>
      <c r="M97" s="1818" t="s">
        <v>597</v>
      </c>
      <c r="O97" s="5304"/>
      <c r="P97" s="1837"/>
      <c r="Q97" s="1837"/>
      <c r="R97" s="1837"/>
      <c r="S97" s="1837"/>
      <c r="T97" s="1837"/>
      <c r="V97" s="1899" t="s">
        <v>1234</v>
      </c>
      <c r="W97" s="1937" t="s">
        <v>1239</v>
      </c>
      <c r="X97" s="1937" t="s">
        <v>597</v>
      </c>
      <c r="Y97" s="1937" t="s">
        <v>1206</v>
      </c>
      <c r="Z97" s="1879" t="s">
        <v>1207</v>
      </c>
      <c r="AA97" s="1937" t="s">
        <v>1174</v>
      </c>
    </row>
    <row r="98" spans="1:27" s="1221" customFormat="1">
      <c r="A98" s="5164"/>
      <c r="B98" s="5145"/>
      <c r="C98" s="2491"/>
      <c r="D98" s="2492"/>
      <c r="E98" s="2492"/>
      <c r="F98" s="2493"/>
      <c r="G98" s="2493">
        <f t="shared" ref="G98:L98" si="4">G97/G105</f>
        <v>0.67233798508889309</v>
      </c>
      <c r="H98" s="2493">
        <f t="shared" si="4"/>
        <v>0.63592787034923537</v>
      </c>
      <c r="I98" s="2494">
        <f t="shared" si="4"/>
        <v>0.62668350168350173</v>
      </c>
      <c r="J98" s="2495">
        <f t="shared" si="4"/>
        <v>0.62583752093802347</v>
      </c>
      <c r="K98" s="2496">
        <f t="shared" si="4"/>
        <v>0.65850144092219021</v>
      </c>
      <c r="L98" s="4886">
        <f t="shared" si="4"/>
        <v>0.66588003933136675</v>
      </c>
      <c r="M98" s="2497" t="s">
        <v>1028</v>
      </c>
      <c r="O98" s="5304"/>
      <c r="P98" s="1837"/>
      <c r="Q98" s="1837"/>
      <c r="R98" s="1837"/>
      <c r="S98" s="1837"/>
      <c r="T98" s="1837"/>
      <c r="V98" s="1899" t="s">
        <v>1244</v>
      </c>
      <c r="W98" s="1937" t="s">
        <v>1244</v>
      </c>
      <c r="X98" s="1937" t="s">
        <v>33</v>
      </c>
      <c r="Y98" s="1937" t="s">
        <v>1206</v>
      </c>
      <c r="Z98" s="1879" t="s">
        <v>1207</v>
      </c>
      <c r="AA98" s="1937" t="s">
        <v>1174</v>
      </c>
    </row>
    <row r="99" spans="1:27" s="1166" customFormat="1" ht="27.6">
      <c r="A99" s="5146">
        <f>A97+1</f>
        <v>25</v>
      </c>
      <c r="B99" s="5144" t="str">
        <f>'Actividades económicas TUR'!C6</f>
        <v xml:space="preserve">ALOJAMIENTO </v>
      </c>
      <c r="C99" s="1191">
        <f>'Actividades económicas TUR'!I6</f>
        <v>585</v>
      </c>
      <c r="D99" s="1215">
        <f>'Actividades económicas TUR'!J6</f>
        <v>642</v>
      </c>
      <c r="E99" s="1216">
        <f>'Actividades económicas TUR'!K6</f>
        <v>713</v>
      </c>
      <c r="F99" s="1217"/>
      <c r="G99" s="1218">
        <f>'Actividades económicas TUR'!M6</f>
        <v>653</v>
      </c>
      <c r="H99" s="1219">
        <f>'Actividades económicas TUR'!N6</f>
        <v>684</v>
      </c>
      <c r="I99" s="1588">
        <f>'Actividades económicas TUR'!O6</f>
        <v>736</v>
      </c>
      <c r="J99" s="2236">
        <f>'Actividades económicas TUR'!P6</f>
        <v>737</v>
      </c>
      <c r="K99" s="2486">
        <f>'Actividades económicas TUR'!Q6</f>
        <v>735</v>
      </c>
      <c r="L99" s="4885">
        <f>'Actividades económicas TUR'!R6</f>
        <v>723</v>
      </c>
      <c r="M99" s="1818" t="s">
        <v>597</v>
      </c>
      <c r="O99" s="5304"/>
      <c r="P99" s="1837"/>
      <c r="Q99" s="1837"/>
      <c r="R99" s="1837"/>
      <c r="S99" s="1837"/>
      <c r="T99" s="1837"/>
      <c r="V99" s="1899" t="s">
        <v>1235</v>
      </c>
      <c r="W99" s="1937" t="s">
        <v>1240</v>
      </c>
      <c r="X99" s="1937" t="s">
        <v>597</v>
      </c>
      <c r="Y99" s="1937" t="s">
        <v>1206</v>
      </c>
      <c r="Z99" s="1879" t="s">
        <v>1207</v>
      </c>
      <c r="AA99" s="1937" t="s">
        <v>1174</v>
      </c>
    </row>
    <row r="100" spans="1:27" s="1221" customFormat="1">
      <c r="A100" s="5147"/>
      <c r="B100" s="5145"/>
      <c r="C100" s="2491"/>
      <c r="D100" s="2492"/>
      <c r="E100" s="2492"/>
      <c r="F100" s="2493"/>
      <c r="G100" s="2493">
        <f t="shared" ref="G100:L100" si="5">G99/G105</f>
        <v>0.12483272796788376</v>
      </c>
      <c r="H100" s="2493">
        <f t="shared" si="5"/>
        <v>0.15612873773111161</v>
      </c>
      <c r="I100" s="2494">
        <f t="shared" si="5"/>
        <v>0.15488215488215487</v>
      </c>
      <c r="J100" s="2495">
        <f t="shared" si="5"/>
        <v>0.15431323283082077</v>
      </c>
      <c r="K100" s="2496">
        <f t="shared" si="5"/>
        <v>0.15129682997118155</v>
      </c>
      <c r="L100" s="4886">
        <f t="shared" si="5"/>
        <v>0.14218289085545724</v>
      </c>
      <c r="M100" s="2497" t="s">
        <v>1028</v>
      </c>
      <c r="O100" s="5304"/>
      <c r="P100" s="1837"/>
      <c r="Q100" s="1837"/>
      <c r="R100" s="1837"/>
      <c r="S100" s="1837"/>
      <c r="T100" s="1837"/>
      <c r="V100" s="1899" t="s">
        <v>1244</v>
      </c>
      <c r="W100" s="1937" t="s">
        <v>1244</v>
      </c>
      <c r="X100" s="1937" t="s">
        <v>33</v>
      </c>
      <c r="Y100" s="1937" t="s">
        <v>1206</v>
      </c>
      <c r="Z100" s="1879" t="s">
        <v>1207</v>
      </c>
      <c r="AA100" s="1937" t="s">
        <v>1174</v>
      </c>
    </row>
    <row r="101" spans="1:27" s="1166" customFormat="1" ht="27.6">
      <c r="A101" s="5163">
        <f>A99+1</f>
        <v>26</v>
      </c>
      <c r="B101" s="5144" t="str">
        <f>'Actividades económicas TUR'!C8</f>
        <v>RECREACIÓN DIVERSIÓN Y ESPARCIMIENTO</v>
      </c>
      <c r="C101" s="1191">
        <f>'Actividades económicas TUR'!I8</f>
        <v>151</v>
      </c>
      <c r="D101" s="1215">
        <f>'Actividades económicas TUR'!J8</f>
        <v>171</v>
      </c>
      <c r="E101" s="1216">
        <f>'Actividades económicas TUR'!K8</f>
        <v>189</v>
      </c>
      <c r="F101" s="1217"/>
      <c r="G101" s="1218">
        <f>'Actividades económicas TUR'!M8</f>
        <v>197</v>
      </c>
      <c r="H101" s="1219">
        <f>'Actividades económicas TUR'!N8</f>
        <v>174</v>
      </c>
      <c r="I101" s="1588">
        <f>'Actividades económicas TUR'!O8</f>
        <v>205</v>
      </c>
      <c r="J101" s="2236">
        <f>'Actividades económicas TUR'!P8</f>
        <v>212</v>
      </c>
      <c r="K101" s="2486">
        <f>'Actividades económicas TUR'!Q8</f>
        <v>61</v>
      </c>
      <c r="L101" s="4885">
        <f>'Actividades económicas TUR'!R8</f>
        <v>72</v>
      </c>
      <c r="M101" s="1818" t="s">
        <v>597</v>
      </c>
      <c r="O101" s="5304"/>
      <c r="P101" s="1837"/>
      <c r="Q101" s="1837"/>
      <c r="R101" s="1837"/>
      <c r="S101" s="1837"/>
      <c r="T101" s="1837"/>
      <c r="V101" s="1899" t="s">
        <v>1236</v>
      </c>
      <c r="W101" s="1937" t="s">
        <v>1241</v>
      </c>
      <c r="X101" s="1937" t="s">
        <v>597</v>
      </c>
      <c r="Y101" s="1937" t="s">
        <v>1206</v>
      </c>
      <c r="Z101" s="1879" t="s">
        <v>1207</v>
      </c>
      <c r="AA101" s="1937" t="s">
        <v>1174</v>
      </c>
    </row>
    <row r="102" spans="1:27" s="1221" customFormat="1">
      <c r="A102" s="5164"/>
      <c r="B102" s="5145"/>
      <c r="C102" s="2491"/>
      <c r="D102" s="2492"/>
      <c r="E102" s="2492"/>
      <c r="F102" s="2493"/>
      <c r="G102" s="2493">
        <f t="shared" ref="G102:L102" si="6">G101/G105</f>
        <v>3.7660103230739823E-2</v>
      </c>
      <c r="H102" s="2493">
        <f t="shared" si="6"/>
        <v>3.9716959598265239E-2</v>
      </c>
      <c r="I102" s="2494">
        <f t="shared" si="6"/>
        <v>4.3139730639730638E-2</v>
      </c>
      <c r="J102" s="2495">
        <f t="shared" si="6"/>
        <v>4.4388609715242881E-2</v>
      </c>
      <c r="K102" s="2496">
        <f t="shared" si="6"/>
        <v>1.2556607657472211E-2</v>
      </c>
      <c r="L102" s="4886">
        <f t="shared" si="6"/>
        <v>1.415929203539823E-2</v>
      </c>
      <c r="M102" s="2497" t="s">
        <v>1028</v>
      </c>
      <c r="O102" s="5304"/>
      <c r="P102" s="1837"/>
      <c r="Q102" s="1837"/>
      <c r="R102" s="1837"/>
      <c r="S102" s="1837"/>
      <c r="T102" s="1837"/>
      <c r="V102" s="1899" t="s">
        <v>1244</v>
      </c>
      <c r="W102" s="1937" t="s">
        <v>1244</v>
      </c>
      <c r="X102" s="1937" t="s">
        <v>33</v>
      </c>
      <c r="Y102" s="1937" t="s">
        <v>1206</v>
      </c>
      <c r="Z102" s="1879" t="s">
        <v>1207</v>
      </c>
      <c r="AA102" s="1937" t="s">
        <v>1174</v>
      </c>
    </row>
    <row r="103" spans="1:27" s="1166" customFormat="1" ht="27.6">
      <c r="A103" s="5146">
        <f>A101+1</f>
        <v>27</v>
      </c>
      <c r="B103" s="5144" t="str">
        <f>'Actividades económicas TUR'!C9</f>
        <v>TRANSPORTE TURISTICO</v>
      </c>
      <c r="C103" s="1191">
        <f>'Actividades económicas TUR'!I9</f>
        <v>100</v>
      </c>
      <c r="D103" s="1215">
        <f>'Actividades económicas TUR'!J9</f>
        <v>101</v>
      </c>
      <c r="E103" s="1216">
        <f>'Actividades económicas TUR'!K9</f>
        <v>52</v>
      </c>
      <c r="F103" s="1217"/>
      <c r="G103" s="1218">
        <f>'Actividades económicas TUR'!M9</f>
        <v>125</v>
      </c>
      <c r="H103" s="1219">
        <f>'Actividades económicas TUR'!N9</f>
        <v>93</v>
      </c>
      <c r="I103" s="1588">
        <f>'Actividades económicas TUR'!O9</f>
        <v>103</v>
      </c>
      <c r="J103" s="2236">
        <f>'Actividades económicas TUR'!P9</f>
        <v>103</v>
      </c>
      <c r="K103" s="2486">
        <f>'Actividades económicas TUR'!Q9</f>
        <v>106</v>
      </c>
      <c r="L103" s="4885">
        <f>'Actividades económicas TUR'!R9</f>
        <v>113</v>
      </c>
      <c r="M103" s="1818" t="s">
        <v>597</v>
      </c>
      <c r="O103" s="5304"/>
      <c r="P103" s="1837"/>
      <c r="Q103" s="1837"/>
      <c r="R103" s="1837"/>
      <c r="S103" s="1837"/>
      <c r="T103" s="1837"/>
      <c r="V103" s="1899" t="s">
        <v>1237</v>
      </c>
      <c r="W103" s="1937" t="s">
        <v>1242</v>
      </c>
      <c r="X103" s="1937" t="s">
        <v>597</v>
      </c>
      <c r="Y103" s="1937" t="s">
        <v>1206</v>
      </c>
      <c r="Z103" s="1879" t="s">
        <v>1207</v>
      </c>
      <c r="AA103" s="1937" t="s">
        <v>1174</v>
      </c>
    </row>
    <row r="104" spans="1:27" s="1221" customFormat="1">
      <c r="A104" s="5147"/>
      <c r="B104" s="5145"/>
      <c r="C104" s="2491"/>
      <c r="D104" s="2492"/>
      <c r="E104" s="2492"/>
      <c r="F104" s="2493"/>
      <c r="G104" s="2493">
        <f t="shared" ref="G104:L104" si="7">G103/G105</f>
        <v>2.3896004588032881E-2</v>
      </c>
      <c r="H104" s="2493">
        <f t="shared" si="7"/>
        <v>2.1228030130107281E-2</v>
      </c>
      <c r="I104" s="2494">
        <f t="shared" si="7"/>
        <v>2.1675084175084174E-2</v>
      </c>
      <c r="J104" s="2495">
        <f t="shared" si="7"/>
        <v>2.1566164154103853E-2</v>
      </c>
      <c r="K104" s="2496">
        <f t="shared" si="7"/>
        <v>2.1819678880197611E-2</v>
      </c>
      <c r="L104" s="4886">
        <f t="shared" si="7"/>
        <v>2.2222222222222223E-2</v>
      </c>
      <c r="M104" s="2497" t="s">
        <v>1028</v>
      </c>
      <c r="O104" s="5304"/>
      <c r="P104" s="1837"/>
      <c r="Q104" s="1837"/>
      <c r="R104" s="1837"/>
      <c r="S104" s="1837"/>
      <c r="T104" s="1837"/>
      <c r="V104" s="1899" t="s">
        <v>1244</v>
      </c>
      <c r="W104" s="1937" t="s">
        <v>1244</v>
      </c>
      <c r="X104" s="1937" t="s">
        <v>33</v>
      </c>
      <c r="Y104" s="1937" t="s">
        <v>1206</v>
      </c>
      <c r="Z104" s="1879" t="s">
        <v>1207</v>
      </c>
      <c r="AA104" s="1937" t="s">
        <v>1174</v>
      </c>
    </row>
    <row r="105" spans="1:27" s="1166" customFormat="1" ht="57.6">
      <c r="A105" s="1229"/>
      <c r="B105" s="1838" t="s">
        <v>1029</v>
      </c>
      <c r="C105" s="1590">
        <f>'Actividades económicas TUR'!I11</f>
        <v>4488</v>
      </c>
      <c r="D105" s="1215">
        <f>'Actividades económicas TUR'!J11</f>
        <v>4909</v>
      </c>
      <c r="E105" s="1216">
        <f>'Actividades económicas TUR'!K11</f>
        <v>5162</v>
      </c>
      <c r="F105" s="1217"/>
      <c r="G105" s="1218">
        <f>'Actividades económicas TUR'!M11</f>
        <v>5231</v>
      </c>
      <c r="H105" s="1839">
        <f>'Actividades económicas TUR'!N11</f>
        <v>4381</v>
      </c>
      <c r="I105" s="2056">
        <f>'Actividades económicas TUR'!O11</f>
        <v>4752</v>
      </c>
      <c r="J105" s="2247">
        <f>'Actividades económicas TUR'!P11</f>
        <v>4776</v>
      </c>
      <c r="K105" s="2487">
        <f>'Actividades económicas TUR'!Q11</f>
        <v>4858</v>
      </c>
      <c r="L105" s="4887">
        <f>'Actividades económicas TUR'!R11</f>
        <v>5085</v>
      </c>
      <c r="M105" s="1854" t="s">
        <v>1128</v>
      </c>
      <c r="O105" s="5304"/>
      <c r="P105" s="1837"/>
      <c r="Q105" s="1837"/>
      <c r="R105" s="1837"/>
      <c r="S105" s="1837"/>
      <c r="T105" s="1837"/>
      <c r="V105" s="1899" t="s">
        <v>1029</v>
      </c>
      <c r="W105" s="1938" t="s">
        <v>1243</v>
      </c>
      <c r="X105" s="1938" t="s">
        <v>597</v>
      </c>
      <c r="Y105" s="1938" t="s">
        <v>1206</v>
      </c>
      <c r="Z105" s="1879" t="s">
        <v>1207</v>
      </c>
      <c r="AA105" s="1938" t="s">
        <v>1174</v>
      </c>
    </row>
    <row r="106" spans="1:27" s="1166" customFormat="1">
      <c r="A106" s="1228"/>
      <c r="B106" s="1186"/>
      <c r="C106" s="1197"/>
      <c r="D106" s="1223"/>
      <c r="E106" s="1224"/>
      <c r="F106" s="1241"/>
      <c r="G106" s="1241"/>
      <c r="H106" s="1188"/>
      <c r="I106" s="1188"/>
      <c r="J106" s="1188"/>
      <c r="K106" s="1188"/>
      <c r="L106" s="1188"/>
      <c r="M106" s="1841"/>
      <c r="O106" s="3791"/>
      <c r="V106" s="1896"/>
      <c r="W106" s="1867"/>
      <c r="X106" s="1568"/>
      <c r="Y106" s="1568"/>
      <c r="Z106" s="1568"/>
      <c r="AA106" s="1568"/>
    </row>
    <row r="107" spans="1:27" ht="15" thickBot="1">
      <c r="A107" s="1231"/>
      <c r="B107" s="1189"/>
      <c r="C107" s="1188"/>
      <c r="D107" s="1188"/>
      <c r="E107" s="1188"/>
      <c r="F107" s="1188"/>
      <c r="G107" s="1188"/>
      <c r="H107" s="1239"/>
      <c r="I107" s="1188"/>
      <c r="J107" s="1188"/>
      <c r="K107" s="1188"/>
      <c r="L107" s="1188"/>
      <c r="M107" s="1240"/>
      <c r="V107" s="1568"/>
      <c r="W107" s="1867"/>
      <c r="X107" s="1568"/>
      <c r="Y107" s="1568"/>
      <c r="Z107" s="1568"/>
      <c r="AA107" s="1568"/>
    </row>
    <row r="108" spans="1:27" ht="20.399999999999999" customHeight="1">
      <c r="A108" s="1245"/>
      <c r="B108" s="2251" t="s">
        <v>1030</v>
      </c>
      <c r="C108" s="1247">
        <v>2013</v>
      </c>
      <c r="D108" s="1248">
        <v>2014</v>
      </c>
      <c r="E108" s="1249">
        <v>2015</v>
      </c>
      <c r="F108" s="1250">
        <v>2016</v>
      </c>
      <c r="G108" s="1251" t="s">
        <v>578</v>
      </c>
      <c r="H108" s="1252">
        <v>2018</v>
      </c>
      <c r="I108" s="2100" t="s">
        <v>868</v>
      </c>
      <c r="J108" s="2245" t="s">
        <v>1395</v>
      </c>
      <c r="K108" s="2471" t="s">
        <v>1419</v>
      </c>
      <c r="L108" s="4757">
        <v>2022</v>
      </c>
      <c r="M108" s="1253" t="s">
        <v>582</v>
      </c>
      <c r="V108" s="1906" t="s">
        <v>1030</v>
      </c>
      <c r="W108" s="1918"/>
      <c r="X108" s="1906"/>
      <c r="Y108" s="1906"/>
      <c r="Z108" s="1906"/>
      <c r="AA108" s="1906"/>
    </row>
    <row r="109" spans="1:27" s="1597" customFormat="1" ht="27.6">
      <c r="A109" s="1593">
        <f>A103+1</f>
        <v>28</v>
      </c>
      <c r="B109" s="2498" t="s">
        <v>1031</v>
      </c>
      <c r="C109" s="1594"/>
      <c r="D109" s="1594"/>
      <c r="E109" s="1594"/>
      <c r="F109" s="1217"/>
      <c r="G109" s="1218">
        <f>'[4]Aloj-Hab-Plazas'!D13</f>
        <v>653</v>
      </c>
      <c r="H109" s="1595">
        <f>'[4]Aloj-Hab-Plazas'!D14</f>
        <v>684</v>
      </c>
      <c r="I109" s="1595">
        <f>'[4]Aloj-Hab-Plazas'!D15</f>
        <v>732</v>
      </c>
      <c r="J109" s="2248">
        <f>'Actividades económicas TUR'!P6</f>
        <v>737</v>
      </c>
      <c r="K109" s="2488">
        <f>'Actividades económicas TUR'!Q6</f>
        <v>735</v>
      </c>
      <c r="L109" s="4888">
        <f>'Actividades económicas TUR'!R6</f>
        <v>723</v>
      </c>
      <c r="M109" s="1596" t="s">
        <v>597</v>
      </c>
      <c r="O109" s="5280" t="s">
        <v>1978</v>
      </c>
      <c r="P109" s="5280"/>
      <c r="Q109" s="5280"/>
      <c r="R109" s="5280"/>
      <c r="S109" s="5280"/>
      <c r="T109" s="5280"/>
      <c r="V109" s="1901" t="s">
        <v>1031</v>
      </c>
      <c r="W109" s="1901" t="s">
        <v>1031</v>
      </c>
      <c r="X109" s="1886" t="s">
        <v>597</v>
      </c>
      <c r="Y109" s="1886" t="s">
        <v>1206</v>
      </c>
      <c r="Z109" s="1886" t="s">
        <v>1207</v>
      </c>
      <c r="AA109" s="1886" t="s">
        <v>1174</v>
      </c>
    </row>
    <row r="110" spans="1:27">
      <c r="A110" s="2827">
        <f>A109+1</f>
        <v>29</v>
      </c>
      <c r="B110" s="2499" t="s">
        <v>1033</v>
      </c>
      <c r="C110" s="1591">
        <f>'[4]Aloj-Hab-Plazas'!E9</f>
        <v>11794</v>
      </c>
      <c r="D110" s="1591">
        <f>'[4]Aloj-Hab-Plazas'!E10</f>
        <v>12956</v>
      </c>
      <c r="E110" s="1591">
        <f>'[4]Aloj-Hab-Plazas'!E11</f>
        <v>14286</v>
      </c>
      <c r="F110" s="1217">
        <f>'[4]Aloj-Hab-Plazas'!E12</f>
        <v>14739</v>
      </c>
      <c r="G110" s="1218">
        <f>'[4]Aloj-Hab-Plazas'!E13</f>
        <v>13357</v>
      </c>
      <c r="H110" s="2379">
        <f>'[4]Aloj-Hab-Plazas'!E14</f>
        <v>13776</v>
      </c>
      <c r="I110" s="1588">
        <f>'[4]Aloj-Hab-Plazas'!E15</f>
        <v>14569</v>
      </c>
      <c r="J110" s="2236">
        <f>'Aloj x sectores'!D41</f>
        <v>15671</v>
      </c>
      <c r="K110" s="2486">
        <f>'Aloj x sectores'!D41</f>
        <v>15671</v>
      </c>
      <c r="L110" s="4885">
        <f>'Aloj x sectores'!D19</f>
        <v>14209</v>
      </c>
      <c r="M110" s="2380" t="s">
        <v>597</v>
      </c>
      <c r="O110" s="5281"/>
      <c r="P110" s="5281"/>
      <c r="Q110" s="5281"/>
      <c r="R110" s="5281"/>
      <c r="S110" s="5281"/>
      <c r="T110" s="5281"/>
      <c r="V110" s="1899" t="s">
        <v>1033</v>
      </c>
      <c r="W110" s="1899" t="s">
        <v>1245</v>
      </c>
      <c r="X110" s="1937" t="s">
        <v>597</v>
      </c>
      <c r="Y110" s="1937" t="s">
        <v>1206</v>
      </c>
      <c r="Z110" s="1879" t="s">
        <v>1207</v>
      </c>
      <c r="AA110" s="1937" t="s">
        <v>1174</v>
      </c>
    </row>
    <row r="111" spans="1:27" ht="15" thickBot="1">
      <c r="A111" s="5142">
        <f>A110+1</f>
        <v>30</v>
      </c>
      <c r="B111" s="2500" t="s">
        <v>1032</v>
      </c>
      <c r="C111" s="1592">
        <f>'[4]Aloj-Hab-Plazas'!F9</f>
        <v>23588</v>
      </c>
      <c r="D111" s="1592">
        <f>'[4]Aloj-Hab-Plazas'!F10</f>
        <v>25912</v>
      </c>
      <c r="E111" s="1592">
        <f>'[4]Aloj-Hab-Plazas'!F11</f>
        <v>28572</v>
      </c>
      <c r="F111" s="1850">
        <f>'[4]Aloj-Hab-Plazas'!F12</f>
        <v>29478</v>
      </c>
      <c r="G111" s="1851">
        <f>'[4]Aloj-Hab-Plazas'!F13</f>
        <v>26851</v>
      </c>
      <c r="H111" s="1242">
        <f>'[4]Aloj-Hab-Plazas'!F14</f>
        <v>28458</v>
      </c>
      <c r="I111" s="1589">
        <f>'[4]Aloj-Hab-Plazas'!F15</f>
        <v>30757</v>
      </c>
      <c r="J111" s="2249">
        <f>'Aloj x sectores'!C41</f>
        <v>28675</v>
      </c>
      <c r="K111" s="2489">
        <f>'Aloj x sectores'!C41</f>
        <v>28675</v>
      </c>
      <c r="L111" s="4889">
        <f>'Aloj x sectores'!C19</f>
        <v>29949</v>
      </c>
      <c r="M111" s="1243" t="s">
        <v>597</v>
      </c>
      <c r="O111" s="5281"/>
      <c r="P111" s="5281"/>
      <c r="Q111" s="5281"/>
      <c r="R111" s="5281"/>
      <c r="S111" s="5281"/>
      <c r="T111" s="5281"/>
      <c r="V111" s="1902" t="s">
        <v>1032</v>
      </c>
      <c r="W111" s="1902" t="s">
        <v>1246</v>
      </c>
      <c r="X111" s="1887" t="s">
        <v>597</v>
      </c>
      <c r="Y111" s="1887" t="s">
        <v>1206</v>
      </c>
      <c r="Z111" s="1887" t="s">
        <v>1207</v>
      </c>
      <c r="AA111" s="1887" t="s">
        <v>1174</v>
      </c>
    </row>
    <row r="112" spans="1:27">
      <c r="A112" s="5143"/>
      <c r="B112" s="2501" t="s">
        <v>1135</v>
      </c>
      <c r="C112" s="1860"/>
      <c r="D112" s="1860"/>
      <c r="E112" s="1860"/>
      <c r="F112" s="1861"/>
      <c r="G112" s="1862"/>
      <c r="H112" s="1864">
        <f t="shared" ref="H112:L114" si="8">H109/G109-1</f>
        <v>4.7473200612557331E-2</v>
      </c>
      <c r="I112" s="1865">
        <f t="shared" si="8"/>
        <v>7.0175438596491224E-2</v>
      </c>
      <c r="J112" s="2250">
        <f t="shared" si="8"/>
        <v>6.830601092896238E-3</v>
      </c>
      <c r="K112" s="2490">
        <f t="shared" si="8"/>
        <v>-2.7137042062415073E-3</v>
      </c>
      <c r="L112" s="4890">
        <f t="shared" si="8"/>
        <v>-1.6326530612244872E-2</v>
      </c>
      <c r="M112" s="1863" t="s">
        <v>1602</v>
      </c>
      <c r="O112" s="5281"/>
      <c r="P112" s="5281"/>
      <c r="Q112" s="5281"/>
      <c r="R112" s="5281"/>
      <c r="S112" s="5281"/>
      <c r="T112" s="5281"/>
      <c r="V112" s="1896" t="s">
        <v>1135</v>
      </c>
      <c r="W112" s="1923"/>
      <c r="X112" s="1888"/>
      <c r="Y112" s="1888"/>
      <c r="Z112" s="1888"/>
      <c r="AA112" s="1888"/>
    </row>
    <row r="113" spans="1:27">
      <c r="A113" s="5143"/>
      <c r="B113" s="2501" t="s">
        <v>1136</v>
      </c>
      <c r="C113" s="1860"/>
      <c r="D113" s="1860"/>
      <c r="E113" s="1860"/>
      <c r="F113" s="1861"/>
      <c r="G113" s="1862"/>
      <c r="H113" s="1864">
        <f t="shared" si="8"/>
        <v>3.1369319457962064E-2</v>
      </c>
      <c r="I113" s="1865">
        <f t="shared" si="8"/>
        <v>5.7563879210220659E-2</v>
      </c>
      <c r="J113" s="2250">
        <f t="shared" si="8"/>
        <v>7.5640057656668258E-2</v>
      </c>
      <c r="K113" s="2490">
        <f t="shared" si="8"/>
        <v>0</v>
      </c>
      <c r="L113" s="4890">
        <f t="shared" si="8"/>
        <v>-9.329334439410375E-2</v>
      </c>
      <c r="M113" s="1863" t="s">
        <v>1602</v>
      </c>
      <c r="O113" s="5281"/>
      <c r="P113" s="5281"/>
      <c r="Q113" s="5281"/>
      <c r="R113" s="5281"/>
      <c r="S113" s="5281"/>
      <c r="T113" s="5281"/>
      <c r="V113" s="1896" t="s">
        <v>1136</v>
      </c>
      <c r="W113" s="1923"/>
      <c r="X113" s="1888"/>
      <c r="Y113" s="1888"/>
      <c r="Z113" s="1888"/>
      <c r="AA113" s="1888"/>
    </row>
    <row r="114" spans="1:27">
      <c r="A114" s="5143"/>
      <c r="B114" s="2501" t="s">
        <v>1137</v>
      </c>
      <c r="C114" s="1860"/>
      <c r="D114" s="1860"/>
      <c r="E114" s="1860"/>
      <c r="F114" s="1861"/>
      <c r="G114" s="1862"/>
      <c r="H114" s="1864">
        <f t="shared" si="8"/>
        <v>5.9848795203158112E-2</v>
      </c>
      <c r="I114" s="1865">
        <f t="shared" si="8"/>
        <v>8.0785719305643378E-2</v>
      </c>
      <c r="J114" s="2250">
        <f t="shared" si="8"/>
        <v>-6.76919075332445E-2</v>
      </c>
      <c r="K114" s="2490">
        <f t="shared" si="8"/>
        <v>0</v>
      </c>
      <c r="L114" s="4890">
        <f t="shared" si="8"/>
        <v>4.4428945074106441E-2</v>
      </c>
      <c r="M114" s="1863" t="s">
        <v>1602</v>
      </c>
      <c r="O114" s="5281"/>
      <c r="P114" s="5281"/>
      <c r="Q114" s="5281"/>
      <c r="R114" s="5281"/>
      <c r="S114" s="5281"/>
      <c r="T114" s="5281"/>
      <c r="V114" s="1896" t="s">
        <v>1137</v>
      </c>
      <c r="W114" s="1923"/>
      <c r="X114" s="1888"/>
      <c r="Y114" s="1888"/>
      <c r="Z114" s="1888"/>
      <c r="AA114" s="1888"/>
    </row>
    <row r="115" spans="1:27">
      <c r="A115" s="5143"/>
      <c r="B115" s="2502"/>
      <c r="C115" s="1188"/>
      <c r="D115" s="1188"/>
      <c r="E115" s="1188"/>
      <c r="F115" s="1188"/>
      <c r="G115" s="1188"/>
      <c r="H115" s="1239"/>
      <c r="I115" s="1188"/>
      <c r="J115" s="1188"/>
      <c r="K115" s="1188"/>
      <c r="L115" s="1188"/>
      <c r="M115" s="1240"/>
      <c r="V115" s="1568"/>
      <c r="W115" s="1867"/>
      <c r="X115" s="1568"/>
      <c r="Y115" s="1568"/>
      <c r="Z115" s="1568"/>
      <c r="AA115" s="1568"/>
    </row>
    <row r="116" spans="1:27" ht="15" thickBot="1">
      <c r="A116" s="5143"/>
      <c r="B116" s="2503"/>
      <c r="C116" s="2504"/>
      <c r="D116" s="2504"/>
      <c r="E116" s="2504"/>
      <c r="F116" s="2504"/>
      <c r="G116" s="2504"/>
      <c r="H116" s="2505"/>
      <c r="I116" s="2504"/>
      <c r="J116" s="2504"/>
      <c r="K116" s="2504"/>
      <c r="L116" s="2504"/>
      <c r="M116" s="1840"/>
      <c r="V116" s="1568"/>
      <c r="W116" s="1867"/>
      <c r="X116" s="1568"/>
      <c r="Y116" s="1568"/>
      <c r="Z116" s="1568"/>
      <c r="AA116" s="1568"/>
    </row>
    <row r="118" spans="1:27" ht="15" thickBot="1"/>
    <row r="119" spans="1:27" ht="20.399999999999999" customHeight="1">
      <c r="A119" s="1245"/>
      <c r="B119" s="2251" t="s">
        <v>1598</v>
      </c>
      <c r="C119" s="1247">
        <v>2013</v>
      </c>
      <c r="D119" s="1248">
        <v>2014</v>
      </c>
      <c r="E119" s="1249">
        <v>2015</v>
      </c>
      <c r="F119" s="1250">
        <v>2016</v>
      </c>
      <c r="G119" s="1251">
        <v>2017</v>
      </c>
      <c r="H119" s="1252">
        <v>2018</v>
      </c>
      <c r="I119" s="1580">
        <v>2019</v>
      </c>
      <c r="J119" s="2238">
        <v>2020</v>
      </c>
      <c r="K119" s="2471" t="s">
        <v>1419</v>
      </c>
      <c r="L119" s="4757" t="s">
        <v>1588</v>
      </c>
      <c r="M119" s="1253" t="s">
        <v>582</v>
      </c>
      <c r="V119" s="1906"/>
      <c r="W119" s="1918"/>
      <c r="X119" s="1906"/>
      <c r="Y119" s="1906"/>
      <c r="Z119" s="1906"/>
      <c r="AA119" s="1906"/>
    </row>
    <row r="120" spans="1:27" s="1597" customFormat="1" ht="27.6">
      <c r="A120" s="3772">
        <f>A111+1</f>
        <v>31</v>
      </c>
      <c r="B120" s="2498" t="s">
        <v>1594</v>
      </c>
      <c r="C120" s="1594"/>
      <c r="D120" s="1594"/>
      <c r="E120" s="1594"/>
      <c r="F120" s="1217"/>
      <c r="G120" s="1218"/>
      <c r="H120" s="1595"/>
      <c r="I120" s="1595">
        <f>[5]BASE!$KS$61</f>
        <v>2153806752.3199997</v>
      </c>
      <c r="J120" s="2248">
        <f>[5]BASE!$LE$61</f>
        <v>1073327355.6799998</v>
      </c>
      <c r="K120" s="2488">
        <f>[5]BASE!$LQ$61</f>
        <v>1513741068.8</v>
      </c>
      <c r="L120" s="4888">
        <f>[5]BASE!$MC$61</f>
        <v>1546664940.3133333</v>
      </c>
      <c r="M120" s="1596" t="s">
        <v>1596</v>
      </c>
      <c r="O120" s="1172" t="s">
        <v>1597</v>
      </c>
      <c r="P120" s="162"/>
      <c r="Q120" s="162"/>
      <c r="R120" s="162"/>
      <c r="S120" s="162"/>
      <c r="T120" s="162"/>
      <c r="V120" s="1901" t="str">
        <f>B120</f>
        <v>Valor de ventas locales por actividad turística en el DMQ</v>
      </c>
      <c r="W120" s="1901" t="s">
        <v>1609</v>
      </c>
      <c r="X120" s="1886" t="s">
        <v>1596</v>
      </c>
      <c r="Y120" s="1886" t="s">
        <v>1610</v>
      </c>
      <c r="Z120" s="1886" t="s">
        <v>1611</v>
      </c>
      <c r="AA120" s="1886" t="s">
        <v>1612</v>
      </c>
    </row>
    <row r="121" spans="1:27" ht="28.8">
      <c r="A121" s="3773">
        <f>A120+1</f>
        <v>32</v>
      </c>
      <c r="B121" s="2499" t="s">
        <v>1595</v>
      </c>
      <c r="C121" s="1591"/>
      <c r="D121" s="1591"/>
      <c r="E121" s="1591"/>
      <c r="F121" s="1217"/>
      <c r="G121" s="1218"/>
      <c r="H121" s="3766"/>
      <c r="I121" s="1588"/>
      <c r="J121" s="3771">
        <f>J120/I120-1</f>
        <v>-0.50166032559613249</v>
      </c>
      <c r="K121" s="3770">
        <f>K120/J120-1</f>
        <v>0.41032562040774478</v>
      </c>
      <c r="L121" s="4891">
        <f>L120/K120-1</f>
        <v>2.1750002158185122E-2</v>
      </c>
      <c r="M121" s="2380" t="s">
        <v>1602</v>
      </c>
      <c r="O121" s="4892" t="s">
        <v>1963</v>
      </c>
      <c r="V121" s="1899" t="str">
        <f t="shared" ref="V121:V141" si="9">B121</f>
        <v>Variación porcentual interanual de veltas locales turísticas en el DMQ</v>
      </c>
      <c r="W121" s="1899"/>
      <c r="X121" s="1937" t="s">
        <v>1602</v>
      </c>
      <c r="Y121" s="1937" t="s">
        <v>1610</v>
      </c>
      <c r="Z121" s="1879"/>
      <c r="AA121" s="1937"/>
    </row>
    <row r="123" spans="1:27" ht="15" thickBot="1"/>
    <row r="124" spans="1:27" ht="20.399999999999999" customHeight="1">
      <c r="A124" s="1245"/>
      <c r="B124" s="2251" t="s">
        <v>1599</v>
      </c>
      <c r="C124" s="1247">
        <v>2013</v>
      </c>
      <c r="D124" s="1248">
        <v>2014</v>
      </c>
      <c r="E124" s="1249">
        <v>2015</v>
      </c>
      <c r="F124" s="1250">
        <v>2016</v>
      </c>
      <c r="G124" s="1251">
        <v>2017</v>
      </c>
      <c r="H124" s="1252">
        <v>2018</v>
      </c>
      <c r="I124" s="1580">
        <v>2019</v>
      </c>
      <c r="J124" s="2238">
        <v>2020</v>
      </c>
      <c r="K124" s="2471">
        <v>2021</v>
      </c>
      <c r="L124" s="4757" t="s">
        <v>1964</v>
      </c>
      <c r="M124" s="1253" t="s">
        <v>582</v>
      </c>
      <c r="V124" s="1906" t="str">
        <f t="shared" si="9"/>
        <v>Visitantes en Puntos de Información Turística del DMQ</v>
      </c>
      <c r="W124" s="1918" t="s">
        <v>1613</v>
      </c>
      <c r="X124" s="1906" t="s">
        <v>597</v>
      </c>
      <c r="Y124" s="1906" t="s">
        <v>1188</v>
      </c>
      <c r="Z124" s="1906" t="s">
        <v>1614</v>
      </c>
      <c r="AA124" s="1906" t="s">
        <v>1180</v>
      </c>
    </row>
    <row r="125" spans="1:27" s="1597" customFormat="1">
      <c r="A125" s="3772">
        <f>A121+1</f>
        <v>33</v>
      </c>
      <c r="B125" s="2498" t="s">
        <v>1510</v>
      </c>
      <c r="C125" s="1594"/>
      <c r="D125" s="1594"/>
      <c r="E125" s="1594"/>
      <c r="F125" s="1217"/>
      <c r="G125" s="1218">
        <f>Puntos_información_QT!C8</f>
        <v>36753</v>
      </c>
      <c r="H125" s="1595">
        <f>Puntos_información_QT!C9</f>
        <v>41156</v>
      </c>
      <c r="I125" s="3789">
        <f>Puntos_información_QT!C10</f>
        <v>44477</v>
      </c>
      <c r="J125" s="2248">
        <f>Puntos_información_QT!C11</f>
        <v>7673</v>
      </c>
      <c r="K125" s="2488">
        <f>Puntos_información_QT!C12</f>
        <v>2197</v>
      </c>
      <c r="L125" s="4888">
        <f>Puntos_información_QT!D12</f>
        <v>1797</v>
      </c>
      <c r="M125" s="1596" t="s">
        <v>1601</v>
      </c>
      <c r="O125" s="1172" t="s">
        <v>1607</v>
      </c>
      <c r="P125" s="162"/>
      <c r="Q125" s="162"/>
      <c r="R125" s="162"/>
      <c r="S125" s="162"/>
      <c r="T125" s="162"/>
      <c r="V125" s="1901" t="str">
        <f t="shared" si="9"/>
        <v>AEROPUERTO INTERNACIONAL</v>
      </c>
      <c r="W125" s="1901"/>
      <c r="X125" s="1886" t="s">
        <v>597</v>
      </c>
      <c r="Y125" s="1886" t="s">
        <v>1188</v>
      </c>
      <c r="Z125" s="1886" t="s">
        <v>1614</v>
      </c>
      <c r="AA125" s="1886" t="s">
        <v>1180</v>
      </c>
    </row>
    <row r="126" spans="1:27">
      <c r="A126" s="3773">
        <f>A125+1</f>
        <v>34</v>
      </c>
      <c r="B126" s="2499" t="s">
        <v>1511</v>
      </c>
      <c r="C126" s="1591"/>
      <c r="D126" s="1591"/>
      <c r="E126" s="1591"/>
      <c r="F126" s="1217"/>
      <c r="G126" s="1218">
        <f>Puntos_información_QT!D8</f>
        <v>16969</v>
      </c>
      <c r="H126" s="3766">
        <f>Puntos_información_QT!D9</f>
        <v>31570</v>
      </c>
      <c r="I126" s="1588">
        <f>Puntos_información_QT!D10</f>
        <v>12421</v>
      </c>
      <c r="J126" s="2236">
        <f>Puntos_información_QT!D11</f>
        <v>2923</v>
      </c>
      <c r="K126" s="2486">
        <f>Puntos_información_QT!D12</f>
        <v>1797</v>
      </c>
      <c r="L126" s="4885">
        <f>Puntos_información_QT!E12</f>
        <v>7433</v>
      </c>
      <c r="M126" s="2380" t="s">
        <v>1601</v>
      </c>
      <c r="O126" s="1172" t="s">
        <v>1607</v>
      </c>
      <c r="V126" s="1899" t="str">
        <f t="shared" si="9"/>
        <v>MARISCAL / OPC</v>
      </c>
      <c r="W126" s="1899"/>
      <c r="X126" s="1937" t="s">
        <v>597</v>
      </c>
      <c r="Y126" s="1937" t="s">
        <v>1188</v>
      </c>
      <c r="Z126" s="1879" t="s">
        <v>1614</v>
      </c>
      <c r="AA126" s="1937" t="s">
        <v>1180</v>
      </c>
    </row>
    <row r="127" spans="1:27" s="1597" customFormat="1">
      <c r="A127" s="3772">
        <f>A126+1</f>
        <v>35</v>
      </c>
      <c r="B127" s="2498" t="s">
        <v>1604</v>
      </c>
      <c r="C127" s="1594"/>
      <c r="D127" s="1594"/>
      <c r="E127" s="1594"/>
      <c r="F127" s="1217"/>
      <c r="G127" s="1218">
        <f>Puntos_información_QT!E8</f>
        <v>38301</v>
      </c>
      <c r="H127" s="1595">
        <f>Puntos_información_QT!E9</f>
        <v>31570</v>
      </c>
      <c r="I127" s="3789">
        <f>Puntos_información_QT!E10</f>
        <v>27018</v>
      </c>
      <c r="J127" s="2248">
        <f>Puntos_información_QT!E11</f>
        <v>5893</v>
      </c>
      <c r="K127" s="2488">
        <f>Puntos_información_QT!E12</f>
        <v>7433</v>
      </c>
      <c r="L127" s="4888">
        <f>Puntos_información_QT!F12</f>
        <v>9485</v>
      </c>
      <c r="M127" s="1596" t="s">
        <v>1601</v>
      </c>
      <c r="O127" s="1172" t="s">
        <v>1607</v>
      </c>
      <c r="P127" s="162"/>
      <c r="Q127" s="162"/>
      <c r="R127" s="162"/>
      <c r="S127" s="162"/>
      <c r="T127" s="162"/>
      <c r="V127" s="1901" t="str">
        <f t="shared" si="9"/>
        <v>EL QUINDE</v>
      </c>
      <c r="W127" s="1901"/>
      <c r="X127" s="1886" t="s">
        <v>597</v>
      </c>
      <c r="Y127" s="1886" t="s">
        <v>1188</v>
      </c>
      <c r="Z127" s="1886" t="s">
        <v>1614</v>
      </c>
      <c r="AA127" s="1886" t="s">
        <v>1180</v>
      </c>
    </row>
    <row r="128" spans="1:27">
      <c r="A128" s="3773">
        <f>A127+1</f>
        <v>36</v>
      </c>
      <c r="B128" s="2499" t="s">
        <v>1513</v>
      </c>
      <c r="C128" s="1591"/>
      <c r="D128" s="1591"/>
      <c r="E128" s="1591"/>
      <c r="F128" s="1217"/>
      <c r="G128" s="1218">
        <f>Puntos_información_QT!F8</f>
        <v>38939</v>
      </c>
      <c r="H128" s="3766">
        <f>Puntos_información_QT!F9</f>
        <v>30270</v>
      </c>
      <c r="I128" s="1588">
        <f>Puntos_información_QT!F10</f>
        <v>24607</v>
      </c>
      <c r="J128" s="2236">
        <f>Puntos_información_QT!F11</f>
        <v>5184</v>
      </c>
      <c r="K128" s="2486">
        <f>Puntos_información_QT!F12</f>
        <v>9485</v>
      </c>
      <c r="L128" s="4885">
        <f>Puntos_información_QT!G12</f>
        <v>20912</v>
      </c>
      <c r="M128" s="2380" t="s">
        <v>1601</v>
      </c>
      <c r="O128" s="1172" t="s">
        <v>1607</v>
      </c>
      <c r="V128" s="1899" t="str">
        <f t="shared" si="9"/>
        <v>QUITUMBE</v>
      </c>
      <c r="W128" s="1899"/>
      <c r="X128" s="1937" t="s">
        <v>597</v>
      </c>
      <c r="Y128" s="1937" t="s">
        <v>1188</v>
      </c>
      <c r="Z128" s="1879" t="s">
        <v>1614</v>
      </c>
      <c r="AA128" s="1937" t="s">
        <v>1180</v>
      </c>
    </row>
    <row r="129" spans="1:27" s="3785" customFormat="1">
      <c r="A129" s="3774"/>
      <c r="B129" s="3784" t="s">
        <v>1603</v>
      </c>
      <c r="C129" s="3775"/>
      <c r="D129" s="3775"/>
      <c r="E129" s="3775"/>
      <c r="F129" s="3776"/>
      <c r="G129" s="3777">
        <f t="shared" ref="G129:L129" si="10">SUM(G125:G128)</f>
        <v>130962</v>
      </c>
      <c r="H129" s="3778">
        <f t="shared" si="10"/>
        <v>134566</v>
      </c>
      <c r="I129" s="3790">
        <f t="shared" si="10"/>
        <v>108523</v>
      </c>
      <c r="J129" s="3779">
        <f t="shared" si="10"/>
        <v>21673</v>
      </c>
      <c r="K129" s="3780">
        <f t="shared" si="10"/>
        <v>20912</v>
      </c>
      <c r="L129" s="4893">
        <f t="shared" si="10"/>
        <v>39627</v>
      </c>
      <c r="M129" s="3781" t="s">
        <v>1601</v>
      </c>
      <c r="O129" s="3793"/>
      <c r="P129" s="3786"/>
      <c r="Q129" s="3786"/>
      <c r="R129" s="3786"/>
      <c r="S129" s="3786"/>
      <c r="T129" s="3786"/>
      <c r="V129" s="3782" t="str">
        <f t="shared" si="9"/>
        <v>TOTAL VISITANTES en puntos información DMQ</v>
      </c>
      <c r="W129" s="3782"/>
      <c r="X129" s="3783" t="s">
        <v>597</v>
      </c>
      <c r="Y129" s="3783" t="s">
        <v>1188</v>
      </c>
      <c r="Z129" s="3783" t="s">
        <v>1614</v>
      </c>
      <c r="AA129" s="3783" t="s">
        <v>1180</v>
      </c>
    </row>
    <row r="130" spans="1:27" ht="28.8">
      <c r="A130" s="3773">
        <f>A128+1</f>
        <v>37</v>
      </c>
      <c r="B130" s="2499" t="s">
        <v>1600</v>
      </c>
      <c r="C130" s="1591"/>
      <c r="D130" s="1591"/>
      <c r="E130" s="1591"/>
      <c r="F130" s="1217"/>
      <c r="G130" s="1218"/>
      <c r="H130" s="3787">
        <f>H129/G129-1</f>
        <v>2.7519433118003755E-2</v>
      </c>
      <c r="I130" s="3788">
        <f>I129/H129-1</f>
        <v>-0.19353328478218867</v>
      </c>
      <c r="J130" s="3768">
        <f>J129/I129-1</f>
        <v>-0.80029118251430575</v>
      </c>
      <c r="K130" s="3769">
        <f>K129/J129-1</f>
        <v>-3.5112813177686553E-2</v>
      </c>
      <c r="L130" s="4894">
        <f>L129/K129-1</f>
        <v>0.89494070390206582</v>
      </c>
      <c r="M130" s="2380" t="s">
        <v>1602</v>
      </c>
      <c r="V130" s="1899" t="str">
        <f t="shared" si="9"/>
        <v>Variación porcentual interanual visitantes a Puntos de información</v>
      </c>
      <c r="W130" s="1899"/>
      <c r="X130" s="1937" t="s">
        <v>1028</v>
      </c>
      <c r="Y130" s="1937" t="s">
        <v>1188</v>
      </c>
      <c r="Z130" s="1879"/>
      <c r="AA130" s="1937"/>
    </row>
    <row r="131" spans="1:27">
      <c r="V131" s="1893">
        <f t="shared" si="9"/>
        <v>0</v>
      </c>
    </row>
    <row r="132" spans="1:27" ht="15" thickBot="1">
      <c r="V132" s="1893">
        <f t="shared" si="9"/>
        <v>0</v>
      </c>
    </row>
    <row r="133" spans="1:27" ht="20.399999999999999" customHeight="1">
      <c r="A133" s="1245"/>
      <c r="B133" s="2251" t="s">
        <v>1605</v>
      </c>
      <c r="C133" s="1247">
        <v>2013</v>
      </c>
      <c r="D133" s="1248">
        <v>2014</v>
      </c>
      <c r="E133" s="1249">
        <v>2015</v>
      </c>
      <c r="F133" s="1250">
        <v>2016</v>
      </c>
      <c r="G133" s="1251">
        <v>2017</v>
      </c>
      <c r="H133" s="1252">
        <v>2018</v>
      </c>
      <c r="I133" s="1580">
        <v>2019</v>
      </c>
      <c r="J133" s="2238">
        <v>2020</v>
      </c>
      <c r="K133" s="2471" t="s">
        <v>1616</v>
      </c>
      <c r="L133" s="2471"/>
      <c r="M133" s="1253" t="s">
        <v>582</v>
      </c>
      <c r="V133" s="1906" t="str">
        <f t="shared" si="9"/>
        <v>Visitantes a MUSEOS del DMQ</v>
      </c>
      <c r="W133" s="1918" t="s">
        <v>1615</v>
      </c>
      <c r="X133" s="1906" t="s">
        <v>597</v>
      </c>
      <c r="Y133" s="1906" t="s">
        <v>1188</v>
      </c>
      <c r="Z133" s="1906" t="s">
        <v>1614</v>
      </c>
      <c r="AA133" s="1906" t="s">
        <v>1180</v>
      </c>
    </row>
    <row r="134" spans="1:27" s="1597" customFormat="1">
      <c r="A134" s="3772">
        <f>A130+1</f>
        <v>38</v>
      </c>
      <c r="B134" s="2498" t="s">
        <v>1526</v>
      </c>
      <c r="C134" s="1594"/>
      <c r="D134" s="1594"/>
      <c r="E134" s="1594"/>
      <c r="F134" s="1217"/>
      <c r="G134" s="1218"/>
      <c r="H134" s="1595"/>
      <c r="I134" s="3789">
        <f>'Museos UIO'!B129</f>
        <v>134348</v>
      </c>
      <c r="J134" s="2248">
        <f>'Museos UIO'!B104</f>
        <v>39122</v>
      </c>
      <c r="K134" s="2488">
        <f>'Museos UIO'!B73</f>
        <v>55945</v>
      </c>
      <c r="L134" s="4753"/>
      <c r="M134" s="1596" t="s">
        <v>1601</v>
      </c>
      <c r="O134" s="1172" t="s">
        <v>1608</v>
      </c>
      <c r="P134" s="162"/>
      <c r="Q134" s="162"/>
      <c r="R134" s="162"/>
      <c r="S134" s="162"/>
      <c r="T134" s="162"/>
      <c r="V134" s="1901" t="str">
        <f t="shared" si="9"/>
        <v>MUSEO DE LA CIUDAD</v>
      </c>
      <c r="W134" s="1901"/>
      <c r="X134" s="1886" t="s">
        <v>597</v>
      </c>
      <c r="Y134" s="1886" t="s">
        <v>1188</v>
      </c>
      <c r="Z134" s="1886" t="s">
        <v>1614</v>
      </c>
      <c r="AA134" s="1886" t="s">
        <v>1180</v>
      </c>
    </row>
    <row r="135" spans="1:27">
      <c r="A135" s="3773">
        <f>A134+1</f>
        <v>39</v>
      </c>
      <c r="B135" s="2499" t="s">
        <v>1527</v>
      </c>
      <c r="C135" s="1591"/>
      <c r="D135" s="1591"/>
      <c r="E135" s="1591"/>
      <c r="F135" s="1217"/>
      <c r="G135" s="1218"/>
      <c r="H135" s="3766"/>
      <c r="I135" s="1588">
        <f>'Museos UIO'!D129</f>
        <v>117136</v>
      </c>
      <c r="J135" s="2236">
        <f>'Museos UIO'!D104</f>
        <v>67719</v>
      </c>
      <c r="K135" s="2486">
        <f>'Museos UIO'!D73</f>
        <v>70517</v>
      </c>
      <c r="L135" s="4752"/>
      <c r="M135" s="2380" t="s">
        <v>1601</v>
      </c>
      <c r="O135" s="1172" t="s">
        <v>1608</v>
      </c>
      <c r="V135" s="1899" t="str">
        <f t="shared" si="9"/>
        <v>MUSEO DEL AGUA</v>
      </c>
      <c r="W135" s="1899"/>
      <c r="X135" s="1937" t="s">
        <v>597</v>
      </c>
      <c r="Y135" s="1937" t="s">
        <v>1188</v>
      </c>
      <c r="Z135" s="1879" t="s">
        <v>1614</v>
      </c>
      <c r="AA135" s="1937" t="s">
        <v>1180</v>
      </c>
    </row>
    <row r="136" spans="1:27" s="1597" customFormat="1">
      <c r="A136" s="3772">
        <f>A135+1</f>
        <v>40</v>
      </c>
      <c r="B136" s="2498" t="s">
        <v>1528</v>
      </c>
      <c r="C136" s="1594"/>
      <c r="D136" s="1594"/>
      <c r="E136" s="1594"/>
      <c r="F136" s="1217"/>
      <c r="G136" s="1218"/>
      <c r="H136" s="1595"/>
      <c r="I136" s="3789">
        <f>'Museos UIO'!F129</f>
        <v>62793</v>
      </c>
      <c r="J136" s="2248">
        <f>'Museos UIO'!F104</f>
        <v>30202</v>
      </c>
      <c r="K136" s="2488">
        <f>'Museos UIO'!F73</f>
        <v>15638</v>
      </c>
      <c r="L136" s="4753"/>
      <c r="M136" s="1596" t="s">
        <v>1601</v>
      </c>
      <c r="O136" s="1172" t="s">
        <v>1608</v>
      </c>
      <c r="P136" s="162"/>
      <c r="Q136" s="162"/>
      <c r="R136" s="162"/>
      <c r="S136" s="162"/>
      <c r="T136" s="162"/>
      <c r="V136" s="1901" t="str">
        <f t="shared" si="9"/>
        <v>MUSEO INTERACTIVO DE CIENCIAS</v>
      </c>
      <c r="W136" s="1901"/>
      <c r="X136" s="1886" t="s">
        <v>597</v>
      </c>
      <c r="Y136" s="1886" t="s">
        <v>1188</v>
      </c>
      <c r="Z136" s="1886" t="s">
        <v>1614</v>
      </c>
      <c r="AA136" s="1886" t="s">
        <v>1180</v>
      </c>
    </row>
    <row r="137" spans="1:27">
      <c r="A137" s="3773">
        <f>A136+1</f>
        <v>41</v>
      </c>
      <c r="B137" s="2499" t="s">
        <v>1529</v>
      </c>
      <c r="C137" s="1591"/>
      <c r="D137" s="1591"/>
      <c r="E137" s="1591"/>
      <c r="F137" s="1217"/>
      <c r="G137" s="1218"/>
      <c r="H137" s="3766"/>
      <c r="I137" s="1588">
        <f>'Museos UIO'!H129</f>
        <v>25402</v>
      </c>
      <c r="J137" s="2236">
        <f>'Museos UIO'!H104</f>
        <v>21011</v>
      </c>
      <c r="K137" s="2486">
        <f>'Museos UIO'!H73</f>
        <v>16548</v>
      </c>
      <c r="L137" s="4752"/>
      <c r="M137" s="2380" t="s">
        <v>1601</v>
      </c>
      <c r="O137" s="1172" t="s">
        <v>1608</v>
      </c>
      <c r="V137" s="1899" t="str">
        <f t="shared" si="9"/>
        <v>MUSEO DEL CARMEN ALTO</v>
      </c>
      <c r="W137" s="1899"/>
      <c r="X137" s="1937" t="s">
        <v>597</v>
      </c>
      <c r="Y137" s="1937" t="s">
        <v>1188</v>
      </c>
      <c r="Z137" s="1879" t="s">
        <v>1614</v>
      </c>
      <c r="AA137" s="1937" t="s">
        <v>1180</v>
      </c>
    </row>
    <row r="138" spans="1:27" s="1597" customFormat="1">
      <c r="A138" s="3772">
        <f>A137+1</f>
        <v>42</v>
      </c>
      <c r="B138" s="2498" t="s">
        <v>1627</v>
      </c>
      <c r="C138" s="1594"/>
      <c r="D138" s="1594"/>
      <c r="E138" s="1594"/>
      <c r="F138" s="1217"/>
      <c r="G138" s="1218"/>
      <c r="H138" s="1595"/>
      <c r="I138" s="3789"/>
      <c r="J138" s="2248"/>
      <c r="K138" s="2488">
        <f>'Museos UIO'!J73</f>
        <v>60401</v>
      </c>
      <c r="L138" s="4753"/>
      <c r="M138" s="1596" t="s">
        <v>1601</v>
      </c>
      <c r="O138" s="1172" t="s">
        <v>1608</v>
      </c>
      <c r="P138" s="162"/>
      <c r="Q138" s="162"/>
      <c r="R138" s="162"/>
      <c r="S138" s="162"/>
      <c r="T138" s="162"/>
      <c r="V138" s="1901"/>
      <c r="W138" s="1901"/>
      <c r="X138" s="1886"/>
      <c r="Y138" s="1886"/>
      <c r="Z138" s="1886"/>
      <c r="AA138" s="1886"/>
    </row>
    <row r="139" spans="1:27">
      <c r="A139" s="3773"/>
      <c r="B139" s="5079"/>
      <c r="C139" s="5080"/>
      <c r="D139" s="5080"/>
      <c r="E139" s="5080"/>
      <c r="F139" s="3812"/>
      <c r="G139" s="3812"/>
      <c r="H139" s="3812"/>
      <c r="I139" s="3812"/>
      <c r="J139" s="3812"/>
      <c r="K139" s="3812"/>
      <c r="L139" s="5070"/>
      <c r="M139" s="5081"/>
      <c r="V139" s="1899"/>
      <c r="W139" s="1899"/>
      <c r="X139" s="3816"/>
      <c r="Y139" s="3816"/>
      <c r="Z139" s="1879"/>
      <c r="AA139" s="3816"/>
    </row>
    <row r="140" spans="1:27" s="3785" customFormat="1">
      <c r="A140" s="3774"/>
      <c r="B140" s="3784" t="s">
        <v>1626</v>
      </c>
      <c r="C140" s="3775"/>
      <c r="D140" s="3775"/>
      <c r="E140" s="3775"/>
      <c r="F140" s="3776"/>
      <c r="G140" s="3777"/>
      <c r="H140" s="3778"/>
      <c r="I140" s="3779">
        <f>SUM(I134:I139)</f>
        <v>339679</v>
      </c>
      <c r="J140" s="3779">
        <f>SUM(J134:J139)</f>
        <v>158054</v>
      </c>
      <c r="K140" s="3780">
        <f>SUM(K134:K139)</f>
        <v>219049</v>
      </c>
      <c r="L140" s="4754"/>
      <c r="M140" s="3781" t="s">
        <v>1601</v>
      </c>
      <c r="O140" s="3793"/>
      <c r="P140" s="3786"/>
      <c r="Q140" s="3786"/>
      <c r="R140" s="3786"/>
      <c r="S140" s="3786"/>
      <c r="T140" s="3786"/>
      <c r="V140" s="3782" t="str">
        <f t="shared" si="9"/>
        <v>TOTAL VISITANTES en museos descritos</v>
      </c>
      <c r="W140" s="3782"/>
      <c r="X140" s="3783" t="s">
        <v>597</v>
      </c>
      <c r="Y140" s="3783" t="s">
        <v>1188</v>
      </c>
      <c r="Z140" s="3783" t="s">
        <v>1614</v>
      </c>
      <c r="AA140" s="3783" t="s">
        <v>1180</v>
      </c>
    </row>
    <row r="141" spans="1:27" ht="27.6">
      <c r="A141" s="3773">
        <v>43</v>
      </c>
      <c r="B141" s="2499" t="s">
        <v>1606</v>
      </c>
      <c r="C141" s="1591"/>
      <c r="D141" s="1591"/>
      <c r="E141" s="1591"/>
      <c r="F141" s="1217"/>
      <c r="G141" s="1218"/>
      <c r="H141" s="3787"/>
      <c r="I141" s="3788"/>
      <c r="J141" s="3768">
        <f>J140/I140-1</f>
        <v>-0.53469599239281784</v>
      </c>
      <c r="K141" s="3769">
        <f>IF(K140="","",(K140/J140-1))</f>
        <v>0.38591240968276663</v>
      </c>
      <c r="L141" s="4755"/>
      <c r="M141" s="2380" t="s">
        <v>1602</v>
      </c>
      <c r="V141" s="1899" t="str">
        <f t="shared" si="9"/>
        <v>Variación porcentual interanual visitantes a MUSEOS</v>
      </c>
      <c r="W141" s="1899"/>
      <c r="X141" s="1937" t="s">
        <v>1028</v>
      </c>
      <c r="Y141" s="1937" t="s">
        <v>1188</v>
      </c>
      <c r="Z141" s="1879"/>
      <c r="AA141" s="1937"/>
    </row>
    <row r="145" spans="2:2" ht="28.8">
      <c r="B145" s="1164" t="s">
        <v>1980</v>
      </c>
    </row>
  </sheetData>
  <mergeCells count="124">
    <mergeCell ref="O109:T114"/>
    <mergeCell ref="V28:V36"/>
    <mergeCell ref="V11:V24"/>
    <mergeCell ref="O83:O90"/>
    <mergeCell ref="O95:O105"/>
    <mergeCell ref="I12:K12"/>
    <mergeCell ref="I13:K13"/>
    <mergeCell ref="I14:K14"/>
    <mergeCell ref="I15:K15"/>
    <mergeCell ref="I16:K16"/>
    <mergeCell ref="I17:K17"/>
    <mergeCell ref="I18:K18"/>
    <mergeCell ref="I19:K19"/>
    <mergeCell ref="I20:K20"/>
    <mergeCell ref="I21:K21"/>
    <mergeCell ref="I22:K22"/>
    <mergeCell ref="K40:M40"/>
    <mergeCell ref="Q40:T40"/>
    <mergeCell ref="M28:M36"/>
    <mergeCell ref="O29:T36"/>
    <mergeCell ref="O11:O24"/>
    <mergeCell ref="P11:P24"/>
    <mergeCell ref="Q11:T24"/>
    <mergeCell ref="I11:K11"/>
    <mergeCell ref="I33:K33"/>
    <mergeCell ref="I35:K35"/>
    <mergeCell ref="I36:K36"/>
    <mergeCell ref="I5:L5"/>
    <mergeCell ref="I8:L8"/>
    <mergeCell ref="I9:L9"/>
    <mergeCell ref="P72:T78"/>
    <mergeCell ref="M72:M73"/>
    <mergeCell ref="M74:M75"/>
    <mergeCell ref="O63:O68"/>
    <mergeCell ref="M76:M77"/>
    <mergeCell ref="M78:M79"/>
    <mergeCell ref="O47:O50"/>
    <mergeCell ref="O72:O79"/>
    <mergeCell ref="J43:M43"/>
    <mergeCell ref="O42:T44"/>
    <mergeCell ref="O55:O60"/>
    <mergeCell ref="C59:M59"/>
    <mergeCell ref="C58:L58"/>
    <mergeCell ref="A1:M1"/>
    <mergeCell ref="A3:M3"/>
    <mergeCell ref="B30:G30"/>
    <mergeCell ref="Q25:T25"/>
    <mergeCell ref="Q27:T27"/>
    <mergeCell ref="O28:P28"/>
    <mergeCell ref="Q37:T37"/>
    <mergeCell ref="O38:T38"/>
    <mergeCell ref="H29:H30"/>
    <mergeCell ref="A28:A36"/>
    <mergeCell ref="B26:G27"/>
    <mergeCell ref="A5:G5"/>
    <mergeCell ref="B6:G8"/>
    <mergeCell ref="B9:G9"/>
    <mergeCell ref="B25:G25"/>
    <mergeCell ref="A37:A40"/>
    <mergeCell ref="O6:T6"/>
    <mergeCell ref="O7:T7"/>
    <mergeCell ref="O9:T9"/>
    <mergeCell ref="M7:M8"/>
    <mergeCell ref="B29:G29"/>
    <mergeCell ref="I10:J10"/>
    <mergeCell ref="I6:L6"/>
    <mergeCell ref="I7:L7"/>
    <mergeCell ref="AA28:AA36"/>
    <mergeCell ref="Y37:Y38"/>
    <mergeCell ref="Z37:Z38"/>
    <mergeCell ref="AA37:AA38"/>
    <mergeCell ref="AA11:AA24"/>
    <mergeCell ref="Y26:Y27"/>
    <mergeCell ref="Z26:Z27"/>
    <mergeCell ref="AA26:AA27"/>
    <mergeCell ref="V6:V8"/>
    <mergeCell ref="V26:V27"/>
    <mergeCell ref="V37:V38"/>
    <mergeCell ref="Z11:Z24"/>
    <mergeCell ref="Y28:Y36"/>
    <mergeCell ref="Z28:Z36"/>
    <mergeCell ref="A6:A8"/>
    <mergeCell ref="H4:I4"/>
    <mergeCell ref="A47:A49"/>
    <mergeCell ref="B46:I46"/>
    <mergeCell ref="A42:A44"/>
    <mergeCell ref="A10:A24"/>
    <mergeCell ref="B10:G24"/>
    <mergeCell ref="A26:A27"/>
    <mergeCell ref="B31:B33"/>
    <mergeCell ref="B34:B36"/>
    <mergeCell ref="H6:H8"/>
    <mergeCell ref="B39:M39"/>
    <mergeCell ref="B41:M41"/>
    <mergeCell ref="B40:G40"/>
    <mergeCell ref="B37:G38"/>
    <mergeCell ref="B28:G28"/>
    <mergeCell ref="I23:K23"/>
    <mergeCell ref="I24:K24"/>
    <mergeCell ref="I31:K31"/>
    <mergeCell ref="I34:K34"/>
    <mergeCell ref="J42:M42"/>
    <mergeCell ref="H40:J40"/>
    <mergeCell ref="M11:M24"/>
    <mergeCell ref="I32:K32"/>
    <mergeCell ref="A111:A116"/>
    <mergeCell ref="B101:B102"/>
    <mergeCell ref="B103:B104"/>
    <mergeCell ref="A95:A96"/>
    <mergeCell ref="B42:G42"/>
    <mergeCell ref="B43:G43"/>
    <mergeCell ref="A94:B94"/>
    <mergeCell ref="C60:M60"/>
    <mergeCell ref="B44:M44"/>
    <mergeCell ref="A54:M54"/>
    <mergeCell ref="B95:B96"/>
    <mergeCell ref="G50:G51"/>
    <mergeCell ref="A97:A98"/>
    <mergeCell ref="A99:A100"/>
    <mergeCell ref="A101:A102"/>
    <mergeCell ref="A103:A104"/>
    <mergeCell ref="B97:B98"/>
    <mergeCell ref="B99:B100"/>
    <mergeCell ref="C68:M68"/>
  </mergeCells>
  <phoneticPr fontId="11" type="noConversion"/>
  <hyperlinks>
    <hyperlink ref="Q25" r:id="rId1" xr:uid="{00000000-0004-0000-0100-000000000000}"/>
    <hyperlink ref="Q28" r:id="rId2" xr:uid="{00000000-0004-0000-0100-000002000000}"/>
    <hyperlink ref="Q37" r:id="rId3" xr:uid="{00000000-0004-0000-0100-000003000000}"/>
    <hyperlink ref="P72" r:id="rId4" display="http://servicios.turismo.gob.ec/index.php/turismo-cifras/2018-09-18-21-11-17/indicadores-de-alojamiento" xr:uid="{00000000-0004-0000-0100-000004000000}"/>
    <hyperlink ref="Q11" r:id="rId5" xr:uid="{00000000-0004-0000-0100-000005000000}"/>
    <hyperlink ref="Q40" r:id="rId6" xr:uid="{00000000-0004-0000-0100-000006000000}"/>
    <hyperlink ref="Q27" r:id="rId7" xr:uid="{227D7ACA-B9B3-4998-A7D0-93A103DCE255}"/>
  </hyperlinks>
  <printOptions horizontalCentered="1"/>
  <pageMargins left="0.15748031496062992" right="0.15748031496062992" top="0.39370078740157483" bottom="0.39370078740157483" header="0.31496062992125984" footer="0.31496062992125984"/>
  <pageSetup paperSize="9" scale="60" fitToHeight="7"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5660-02D4-4B3C-9762-028E1A87C921}">
  <sheetPr>
    <tabColor rgb="FF7030A0"/>
    <pageSetUpPr fitToPage="1"/>
  </sheetPr>
  <dimension ref="B1:U18"/>
  <sheetViews>
    <sheetView workbookViewId="0">
      <selection sqref="A1:XFD3"/>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8" width="12.88671875" customWidth="1"/>
    <col min="9" max="11" width="7.6640625" customWidth="1"/>
    <col min="12" max="12" width="8.109375" customWidth="1"/>
    <col min="13" max="13" width="22.6640625" customWidth="1"/>
    <col min="14" max="20" width="11.109375" customWidth="1"/>
    <col min="21" max="21" width="14.6640625" customWidth="1"/>
  </cols>
  <sheetData>
    <row r="1" spans="2:21" s="45" customFormat="1">
      <c r="B1" s="4130" t="s">
        <v>1797</v>
      </c>
      <c r="C1" s="4131"/>
      <c r="D1" s="4131"/>
      <c r="E1" s="4132"/>
      <c r="F1" s="4132"/>
      <c r="G1" s="4132"/>
      <c r="H1" s="4132"/>
      <c r="I1" s="4132"/>
      <c r="J1" s="4132"/>
      <c r="K1" s="4133"/>
      <c r="M1" s="4134" t="s">
        <v>1798</v>
      </c>
      <c r="N1" s="4136"/>
      <c r="O1" s="4136"/>
      <c r="P1" s="4136"/>
      <c r="Q1" s="4136"/>
      <c r="R1" s="4136"/>
      <c r="S1" s="4136"/>
      <c r="T1" s="4136"/>
      <c r="U1" s="4133"/>
    </row>
    <row r="2" spans="2:21" s="45" customFormat="1">
      <c r="B2" s="4137"/>
      <c r="C2" s="4138"/>
      <c r="D2" s="4138"/>
      <c r="K2" s="4139"/>
      <c r="M2" s="4140"/>
      <c r="N2" s="4142"/>
      <c r="O2" s="4142"/>
      <c r="P2" s="4142"/>
      <c r="Q2" s="4142"/>
      <c r="R2" s="4142"/>
      <c r="S2" s="4142"/>
      <c r="T2" s="4142"/>
      <c r="U2" s="4139"/>
    </row>
    <row r="3" spans="2:21">
      <c r="B3" s="44"/>
      <c r="C3" s="5648">
        <v>2020</v>
      </c>
      <c r="D3" s="5648"/>
      <c r="E3" s="5649">
        <v>2021</v>
      </c>
      <c r="F3" s="5649"/>
      <c r="G3" s="5650">
        <v>2022</v>
      </c>
      <c r="H3" s="5650"/>
      <c r="K3" s="4168"/>
      <c r="M3" s="44"/>
      <c r="N3" s="5648">
        <v>2020</v>
      </c>
      <c r="O3" s="5648"/>
      <c r="P3" s="5649">
        <v>2021</v>
      </c>
      <c r="Q3" s="5649"/>
      <c r="R3" s="5650">
        <v>2022</v>
      </c>
      <c r="S3" s="5650"/>
      <c r="T3" s="3979"/>
      <c r="U3" s="4168"/>
    </row>
    <row r="4" spans="2:21" s="2820" customFormat="1">
      <c r="B4" s="4230"/>
      <c r="C4" s="5648" t="s">
        <v>1799</v>
      </c>
      <c r="D4" s="5648"/>
      <c r="E4" s="5649" t="s">
        <v>1800</v>
      </c>
      <c r="F4" s="5649"/>
      <c r="G4" s="5647"/>
      <c r="H4" s="5647"/>
      <c r="K4" s="4168"/>
      <c r="M4" s="312"/>
      <c r="N4" s="5648" t="s">
        <v>1799</v>
      </c>
      <c r="O4" s="5648"/>
      <c r="P4" s="5649" t="s">
        <v>1801</v>
      </c>
      <c r="Q4" s="5649"/>
      <c r="R4" s="5647"/>
      <c r="S4" s="5647"/>
      <c r="T4" s="3979"/>
      <c r="U4" s="4231"/>
    </row>
    <row r="5" spans="2:21" s="2820" customFormat="1" ht="48">
      <c r="B5" s="4230"/>
      <c r="C5" s="4216" t="s">
        <v>1724</v>
      </c>
      <c r="D5" s="4216" t="s">
        <v>1699</v>
      </c>
      <c r="E5" s="4148" t="s">
        <v>1724</v>
      </c>
      <c r="F5" s="4148" t="s">
        <v>1699</v>
      </c>
      <c r="G5" s="4149" t="s">
        <v>1724</v>
      </c>
      <c r="H5" s="4149" t="s">
        <v>1699</v>
      </c>
      <c r="K5" s="4168"/>
      <c r="M5" s="312"/>
      <c r="N5" s="42" t="s">
        <v>1802</v>
      </c>
      <c r="O5" s="42" t="s">
        <v>1803</v>
      </c>
      <c r="P5" s="4347" t="s">
        <v>1804</v>
      </c>
      <c r="Q5" s="4347" t="s">
        <v>1805</v>
      </c>
      <c r="R5" s="4348" t="s">
        <v>1806</v>
      </c>
      <c r="S5" s="4349" t="s">
        <v>1807</v>
      </c>
      <c r="U5" s="313"/>
    </row>
    <row r="6" spans="2:21">
      <c r="B6" s="4152" t="s">
        <v>1700</v>
      </c>
      <c r="C6" s="4154">
        <f>132+1037+387+864</f>
        <v>2420</v>
      </c>
      <c r="D6" s="4154">
        <f>282+580+538+753</f>
        <v>2153</v>
      </c>
      <c r="E6" s="4162">
        <v>2200</v>
      </c>
      <c r="F6" s="4162">
        <v>3000</v>
      </c>
      <c r="G6" s="4163"/>
      <c r="H6" s="4163"/>
      <c r="K6" s="4168"/>
      <c r="M6" s="4152" t="s">
        <v>1701</v>
      </c>
      <c r="N6" s="4350">
        <f>8400+8750+5400+3800</f>
        <v>26350</v>
      </c>
      <c r="O6" s="4160">
        <f>4293+4419+4167+3482</f>
        <v>16361</v>
      </c>
      <c r="P6" s="4351">
        <f>11700+14800+15350+10150</f>
        <v>52000</v>
      </c>
      <c r="Q6" s="4352">
        <f>8148+8424+8052+7932</f>
        <v>32556</v>
      </c>
      <c r="R6" s="4353"/>
      <c r="S6" s="4354"/>
      <c r="T6" s="4160"/>
      <c r="U6" s="4273"/>
    </row>
    <row r="7" spans="2:21">
      <c r="B7" s="44" t="s">
        <v>1808</v>
      </c>
      <c r="C7" s="5637">
        <f>SUM(C6:D6)</f>
        <v>4573</v>
      </c>
      <c r="D7" s="5637"/>
      <c r="E7" s="5639">
        <f>SUM(E6:F6)</f>
        <v>5200</v>
      </c>
      <c r="F7" s="5639"/>
      <c r="G7" s="5640">
        <f>SUM(G6:H6)</f>
        <v>0</v>
      </c>
      <c r="H7" s="5640"/>
      <c r="K7" s="4168"/>
      <c r="M7" s="4152" t="s">
        <v>1702</v>
      </c>
      <c r="N7" s="4350">
        <f>4000+3700+3700+2400</f>
        <v>13800</v>
      </c>
      <c r="O7" s="4160">
        <f>2313+2250+2169+1548</f>
        <v>8280</v>
      </c>
      <c r="P7" s="4351">
        <f>7400+9000+6900+6000</f>
        <v>29300</v>
      </c>
      <c r="Q7" s="4352">
        <f>4152+3876+3588+3624</f>
        <v>15240</v>
      </c>
      <c r="R7" s="4353"/>
      <c r="S7" s="4354"/>
      <c r="T7" s="4160"/>
      <c r="U7" s="4273"/>
    </row>
    <row r="8" spans="2:21">
      <c r="B8" s="44"/>
      <c r="E8" s="4166"/>
      <c r="F8" s="4166"/>
      <c r="G8" s="4167"/>
      <c r="H8" s="4167"/>
      <c r="K8" s="4168"/>
      <c r="M8" s="4169" t="s">
        <v>32</v>
      </c>
      <c r="N8" s="4355">
        <f>SUM(N6:N7)</f>
        <v>40150</v>
      </c>
      <c r="O8" s="4314">
        <f>O6+O7</f>
        <v>24641</v>
      </c>
      <c r="P8" s="4356">
        <f>SUM(P6:P7)</f>
        <v>81300</v>
      </c>
      <c r="Q8" s="4357">
        <f>Q6+Q7</f>
        <v>47796</v>
      </c>
      <c r="R8" s="4358">
        <f>SUM(R6:R7)</f>
        <v>0</v>
      </c>
      <c r="S8" s="4359">
        <f>S6+S7</f>
        <v>0</v>
      </c>
      <c r="T8" s="4314"/>
      <c r="U8" s="4316"/>
    </row>
    <row r="9" spans="2:21">
      <c r="B9" s="44"/>
      <c r="E9" s="4166"/>
      <c r="F9" s="4166"/>
      <c r="G9" s="4167"/>
      <c r="H9" s="4167"/>
      <c r="K9" s="4168"/>
      <c r="M9" s="4169"/>
      <c r="N9" s="4360" t="s">
        <v>1809</v>
      </c>
      <c r="O9" s="4361">
        <f>N8-O8</f>
        <v>15509</v>
      </c>
      <c r="P9" s="4362" t="s">
        <v>1809</v>
      </c>
      <c r="Q9" s="4363">
        <f>P8-Q8</f>
        <v>33504</v>
      </c>
      <c r="R9" s="4364" t="s">
        <v>1809</v>
      </c>
      <c r="S9" s="4365">
        <f>R8-S8</f>
        <v>0</v>
      </c>
      <c r="T9" s="4314"/>
      <c r="U9" s="4316"/>
    </row>
    <row r="10" spans="2:21" s="997" customFormat="1" ht="10.199999999999999">
      <c r="B10" s="4366"/>
      <c r="C10" s="4367"/>
      <c r="D10" s="4367"/>
      <c r="E10" s="4368"/>
      <c r="F10" s="4368"/>
      <c r="G10" s="4369"/>
      <c r="H10" s="4369"/>
      <c r="K10" s="4370"/>
      <c r="M10" s="4371" t="s">
        <v>1810</v>
      </c>
      <c r="O10" s="4372">
        <f>O8/N8</f>
        <v>0.61372353673723534</v>
      </c>
      <c r="P10" s="4373"/>
      <c r="Q10" s="4374">
        <f>Q8/P8</f>
        <v>0.58789667896678965</v>
      </c>
      <c r="R10" s="4375"/>
      <c r="S10" s="4376" t="e">
        <f>S8/R8</f>
        <v>#DIV/0!</v>
      </c>
      <c r="T10" s="4377"/>
      <c r="U10" s="4370"/>
    </row>
    <row r="11" spans="2:21" ht="30.6" customHeight="1">
      <c r="B11" s="4176"/>
      <c r="C11" s="5614" t="s">
        <v>1811</v>
      </c>
      <c r="D11" s="5614"/>
      <c r="E11" s="5601" t="s">
        <v>866</v>
      </c>
      <c r="F11" s="5601"/>
      <c r="G11" s="5602"/>
      <c r="H11" s="5602"/>
      <c r="K11" s="4168"/>
      <c r="M11" s="44"/>
      <c r="N11" s="5616" t="s">
        <v>1812</v>
      </c>
      <c r="O11" s="5616"/>
      <c r="P11" s="5651" t="s">
        <v>1813</v>
      </c>
      <c r="Q11" s="5651"/>
      <c r="R11" s="5652"/>
      <c r="S11" s="5652"/>
      <c r="T11" s="4263"/>
      <c r="U11" s="4378"/>
    </row>
    <row r="12" spans="2:21">
      <c r="B12" s="4176"/>
      <c r="C12" s="4379"/>
      <c r="D12" s="4379"/>
      <c r="E12" s="4380"/>
      <c r="F12" s="4380"/>
      <c r="G12" s="4381"/>
      <c r="H12" s="4381"/>
      <c r="K12" s="4168"/>
      <c r="M12" s="44"/>
      <c r="N12" s="4360"/>
      <c r="O12" s="4360"/>
      <c r="P12" s="4362"/>
      <c r="Q12" s="4362"/>
      <c r="R12" s="4364"/>
      <c r="S12" s="4364"/>
      <c r="T12" s="4360"/>
      <c r="U12" s="4168"/>
    </row>
    <row r="13" spans="2:21">
      <c r="B13" s="4176"/>
      <c r="C13" s="4379"/>
      <c r="D13" s="4379"/>
      <c r="E13" s="4380"/>
      <c r="F13" s="4380"/>
      <c r="G13" s="4381"/>
      <c r="H13" s="4381"/>
      <c r="K13" s="4168"/>
      <c r="M13" s="44"/>
      <c r="N13" s="4360"/>
      <c r="O13" s="4360"/>
      <c r="P13" s="4362"/>
      <c r="Q13" s="4362"/>
      <c r="R13" s="4364"/>
      <c r="S13" s="4364"/>
      <c r="T13" s="4360"/>
      <c r="U13" s="4168"/>
    </row>
    <row r="14" spans="2:21">
      <c r="B14" s="4208" t="s">
        <v>1710</v>
      </c>
      <c r="C14" s="4157">
        <f t="shared" ref="C14:H14" si="0">C6/4</f>
        <v>605</v>
      </c>
      <c r="D14" s="4157">
        <f t="shared" si="0"/>
        <v>538.25</v>
      </c>
      <c r="E14" s="4155">
        <f t="shared" si="0"/>
        <v>550</v>
      </c>
      <c r="F14" s="4155">
        <f t="shared" si="0"/>
        <v>750</v>
      </c>
      <c r="G14" s="4156">
        <f t="shared" si="0"/>
        <v>0</v>
      </c>
      <c r="H14" s="4156">
        <f t="shared" si="0"/>
        <v>0</v>
      </c>
      <c r="K14" s="4168"/>
      <c r="M14" s="4208" t="s">
        <v>1710</v>
      </c>
      <c r="N14" s="4157"/>
      <c r="O14" s="4157">
        <f>(O6+O7)/4</f>
        <v>6160.25</v>
      </c>
      <c r="P14" s="4155"/>
      <c r="Q14" s="4155">
        <f>(Q6+Q7)/4</f>
        <v>11949</v>
      </c>
      <c r="R14" s="4156"/>
      <c r="S14" s="4156">
        <f>(S6+S7)/4</f>
        <v>0</v>
      </c>
      <c r="T14" s="4157"/>
      <c r="U14" s="4273"/>
    </row>
    <row r="15" spans="2:21">
      <c r="B15" s="4382" t="s">
        <v>1814</v>
      </c>
      <c r="C15" s="4383"/>
      <c r="D15" s="4383"/>
      <c r="E15" s="4384"/>
      <c r="F15" s="4384"/>
      <c r="G15" s="4385"/>
      <c r="H15" s="4385"/>
      <c r="K15" s="4168"/>
      <c r="M15" s="4382" t="s">
        <v>1814</v>
      </c>
      <c r="N15" s="4383"/>
      <c r="O15" s="4383"/>
      <c r="P15" s="4386"/>
      <c r="Q15" s="4384">
        <f>Q14/O14</f>
        <v>1.9396940059250842</v>
      </c>
      <c r="R15" s="4387"/>
      <c r="S15" s="4385">
        <f>S14/Q14</f>
        <v>0</v>
      </c>
      <c r="T15" s="4157"/>
      <c r="U15" s="4273"/>
    </row>
    <row r="16" spans="2:21">
      <c r="B16" s="4208"/>
      <c r="C16" s="4157"/>
      <c r="D16" s="4157"/>
      <c r="E16" s="4155"/>
      <c r="F16" s="4155"/>
      <c r="G16" s="4156"/>
      <c r="H16" s="4156"/>
      <c r="K16" s="4168"/>
      <c r="M16" s="4208"/>
      <c r="N16" s="4157"/>
      <c r="O16" s="4157"/>
      <c r="P16" s="4155"/>
      <c r="Q16" s="4155"/>
      <c r="R16" s="4156"/>
      <c r="S16" s="4156"/>
      <c r="T16" s="4157"/>
      <c r="U16" s="4273"/>
    </row>
    <row r="17" spans="2:21" s="226" customFormat="1" ht="10.199999999999999">
      <c r="B17" s="4382"/>
      <c r="C17" s="4383"/>
      <c r="D17" s="4383"/>
      <c r="E17" s="4384"/>
      <c r="F17" s="4384"/>
      <c r="G17" s="4385"/>
      <c r="H17" s="4385"/>
      <c r="K17" s="4388"/>
      <c r="M17" s="4382"/>
      <c r="N17" s="4383"/>
      <c r="O17" s="4383"/>
      <c r="P17" s="4386"/>
      <c r="Q17" s="4384"/>
      <c r="R17" s="4387"/>
      <c r="S17" s="4385"/>
      <c r="T17" s="4383"/>
      <c r="U17" s="4389"/>
    </row>
    <row r="18" spans="2:21" s="997" customFormat="1" ht="10.8" thickBot="1">
      <c r="B18" s="4390"/>
      <c r="C18" s="4391"/>
      <c r="D18" s="4391"/>
      <c r="E18" s="4391"/>
      <c r="F18" s="4391"/>
      <c r="G18" s="4391"/>
      <c r="H18" s="4391"/>
      <c r="I18" s="4391"/>
      <c r="J18" s="4391"/>
      <c r="K18" s="4392"/>
      <c r="M18" s="4393"/>
      <c r="N18" s="4391"/>
      <c r="O18" s="4394"/>
      <c r="P18" s="4391"/>
      <c r="Q18" s="4394"/>
      <c r="R18" s="4391"/>
      <c r="S18" s="4391"/>
      <c r="T18" s="4391"/>
      <c r="U18" s="4392"/>
    </row>
  </sheetData>
  <mergeCells count="21">
    <mergeCell ref="N11:O11"/>
    <mergeCell ref="P11:Q11"/>
    <mergeCell ref="R11:S11"/>
    <mergeCell ref="C7:D7"/>
    <mergeCell ref="E7:F7"/>
    <mergeCell ref="G7:H7"/>
    <mergeCell ref="C11:D11"/>
    <mergeCell ref="E11:F11"/>
    <mergeCell ref="G11:H11"/>
    <mergeCell ref="R4:S4"/>
    <mergeCell ref="C3:D3"/>
    <mergeCell ref="E3:F3"/>
    <mergeCell ref="G3:H3"/>
    <mergeCell ref="N3:O3"/>
    <mergeCell ref="P3:Q3"/>
    <mergeCell ref="R3:S3"/>
    <mergeCell ref="C4:D4"/>
    <mergeCell ref="E4:F4"/>
    <mergeCell ref="G4:H4"/>
    <mergeCell ref="N4:O4"/>
    <mergeCell ref="P4:Q4"/>
  </mergeCells>
  <pageMargins left="0.70866141732283472" right="0.70866141732283472" top="0.74803149606299213" bottom="0.74803149606299213" header="0.31496062992125984" footer="0.31496062992125984"/>
  <pageSetup paperSize="9" scale="53" orientation="landscape" verticalDpi="597"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96D6-03F8-4660-8B48-073234B13493}">
  <sheetPr>
    <tabColor rgb="FF7030A0"/>
    <pageSetUpPr fitToPage="1"/>
  </sheetPr>
  <dimension ref="B1:AC16"/>
  <sheetViews>
    <sheetView zoomScale="90" zoomScaleNormal="90" workbookViewId="0">
      <selection sqref="A1:XFD3"/>
    </sheetView>
  </sheetViews>
  <sheetFormatPr baseColWidth="10" defaultRowHeight="14.4"/>
  <cols>
    <col min="1" max="1" width="2.33203125" customWidth="1"/>
    <col min="2" max="2" width="34.5546875" customWidth="1"/>
    <col min="3" max="3" width="2.21875" bestFit="1" customWidth="1"/>
    <col min="4" max="4" width="11.5546875" hidden="1" customWidth="1"/>
    <col min="5" max="7" width="11.5546875" customWidth="1"/>
    <col min="13" max="14" width="12.109375" customWidth="1"/>
    <col min="15" max="17" width="9" customWidth="1"/>
    <col min="18" max="18" width="8.109375" customWidth="1"/>
    <col min="19" max="19" width="22.6640625" customWidth="1"/>
    <col min="20" max="23" width="11.109375" hidden="1" customWidth="1"/>
    <col min="24" max="25" width="14.6640625" customWidth="1"/>
    <col min="26" max="26" width="18.33203125" bestFit="1" customWidth="1"/>
    <col min="27" max="29" width="23.109375" customWidth="1"/>
  </cols>
  <sheetData>
    <row r="1" spans="2:29" s="45" customFormat="1">
      <c r="B1" s="4130" t="s">
        <v>1815</v>
      </c>
      <c r="C1" s="4132"/>
      <c r="D1" s="4132"/>
      <c r="E1" s="4132"/>
      <c r="F1" s="4132"/>
      <c r="G1" s="4132"/>
      <c r="H1" s="4132"/>
      <c r="I1" s="4132"/>
      <c r="J1" s="4132"/>
      <c r="K1" s="4132"/>
      <c r="L1" s="4132"/>
      <c r="M1" s="4132"/>
      <c r="N1" s="4132"/>
      <c r="O1" s="4132"/>
      <c r="P1" s="4132"/>
      <c r="Q1" s="4133"/>
      <c r="S1" s="4134" t="s">
        <v>1816</v>
      </c>
      <c r="T1" s="4136"/>
      <c r="U1" s="4136"/>
      <c r="V1" s="4136"/>
      <c r="W1" s="4132"/>
      <c r="X1" s="4132"/>
      <c r="Y1" s="4132"/>
      <c r="Z1" s="4132"/>
      <c r="AA1" s="4132"/>
      <c r="AB1" s="4132"/>
      <c r="AC1" s="4133"/>
    </row>
    <row r="2" spans="2:29">
      <c r="B2" s="44"/>
      <c r="Q2" s="4168"/>
      <c r="S2" s="44"/>
      <c r="AC2" s="4168"/>
    </row>
    <row r="3" spans="2:29" s="2820" customFormat="1">
      <c r="B3" s="4230"/>
      <c r="C3" s="4216"/>
      <c r="D3" s="4216"/>
      <c r="E3" s="4216">
        <v>2016</v>
      </c>
      <c r="F3" s="4216">
        <v>2017</v>
      </c>
      <c r="G3" s="4216" t="s">
        <v>813</v>
      </c>
      <c r="H3" s="4216" t="s">
        <v>868</v>
      </c>
      <c r="I3" s="5653">
        <v>2020</v>
      </c>
      <c r="J3" s="5653"/>
      <c r="K3" s="5649">
        <v>2021</v>
      </c>
      <c r="L3" s="5649"/>
      <c r="M3" s="5650">
        <v>2022</v>
      </c>
      <c r="N3" s="5650"/>
      <c r="O3" s="3979"/>
      <c r="P3" s="3979"/>
      <c r="Q3" s="313"/>
      <c r="S3" s="312"/>
      <c r="T3" s="3979">
        <v>2015</v>
      </c>
      <c r="U3" s="3979">
        <v>2016</v>
      </c>
      <c r="V3" s="3979">
        <v>2017</v>
      </c>
      <c r="W3" s="4216">
        <v>2018</v>
      </c>
      <c r="X3" s="4216">
        <v>2019</v>
      </c>
      <c r="Y3" s="4216">
        <v>2020</v>
      </c>
      <c r="Z3" s="4212">
        <v>2021</v>
      </c>
      <c r="AA3" s="4220">
        <v>2022</v>
      </c>
      <c r="AB3" s="4216"/>
      <c r="AC3" s="4231"/>
    </row>
    <row r="4" spans="2:29" s="2820" customFormat="1">
      <c r="B4" s="4230"/>
      <c r="C4" s="4216"/>
      <c r="D4" s="4216"/>
      <c r="E4" s="4216" t="s">
        <v>1817</v>
      </c>
      <c r="F4" s="4216" t="s">
        <v>1817</v>
      </c>
      <c r="G4" s="4216" t="s">
        <v>1818</v>
      </c>
      <c r="H4" s="4216" t="s">
        <v>1818</v>
      </c>
      <c r="I4" s="5653" t="s">
        <v>1819</v>
      </c>
      <c r="J4" s="5653"/>
      <c r="K4" s="5649" t="s">
        <v>1820</v>
      </c>
      <c r="L4" s="5649"/>
      <c r="M4" s="5647"/>
      <c r="N4" s="5647"/>
      <c r="O4" s="3979"/>
      <c r="P4" s="3979"/>
      <c r="Q4" s="313"/>
      <c r="S4" s="312"/>
      <c r="T4" s="3979" t="s">
        <v>1818</v>
      </c>
      <c r="U4" s="3979" t="s">
        <v>1818</v>
      </c>
      <c r="V4" s="3979" t="s">
        <v>1821</v>
      </c>
      <c r="W4" s="4216" t="s">
        <v>1818</v>
      </c>
      <c r="X4" s="4216" t="s">
        <v>1822</v>
      </c>
      <c r="Y4" s="4216" t="s">
        <v>1819</v>
      </c>
      <c r="Z4" s="4212" t="s">
        <v>1823</v>
      </c>
      <c r="AA4" s="4395"/>
      <c r="AB4" s="4216"/>
      <c r="AC4" s="4231"/>
    </row>
    <row r="5" spans="2:29" s="2820" customFormat="1">
      <c r="B5" s="4230"/>
      <c r="C5" s="4216"/>
      <c r="D5" s="4216"/>
      <c r="E5" s="4396" t="s">
        <v>1699</v>
      </c>
      <c r="F5" s="4396" t="s">
        <v>1699</v>
      </c>
      <c r="G5" s="4396" t="s">
        <v>1699</v>
      </c>
      <c r="H5" s="4396" t="s">
        <v>1699</v>
      </c>
      <c r="I5" s="4397" t="s">
        <v>1724</v>
      </c>
      <c r="J5" s="4396" t="s">
        <v>1699</v>
      </c>
      <c r="K5" s="4398" t="s">
        <v>1724</v>
      </c>
      <c r="L5" s="4399" t="s">
        <v>1699</v>
      </c>
      <c r="M5" s="4400" t="s">
        <v>1724</v>
      </c>
      <c r="N5" s="4401" t="s">
        <v>1699</v>
      </c>
      <c r="O5" s="3979"/>
      <c r="P5" s="3979"/>
      <c r="Q5" s="4402"/>
      <c r="S5" s="312"/>
      <c r="T5" s="3979"/>
      <c r="U5" s="3979"/>
      <c r="V5" s="3979"/>
      <c r="W5" s="4216"/>
      <c r="X5" s="4216"/>
      <c r="Y5" s="4216"/>
      <c r="Z5" s="4212"/>
      <c r="AA5" s="4220"/>
      <c r="AB5" s="4216"/>
      <c r="AC5" s="4231"/>
    </row>
    <row r="6" spans="2:29">
      <c r="B6" s="4152" t="s">
        <v>1700</v>
      </c>
      <c r="C6" s="4154"/>
      <c r="D6" s="4154"/>
      <c r="E6" s="4154">
        <v>5981</v>
      </c>
      <c r="F6" s="4154">
        <v>6110</v>
      </c>
      <c r="G6" s="4154">
        <v>6891</v>
      </c>
      <c r="H6" s="4154">
        <f>G6*1.02</f>
        <v>7028.82</v>
      </c>
      <c r="I6" s="4403">
        <f>724+389+587+921</f>
        <v>2621</v>
      </c>
      <c r="J6" s="4403">
        <f>554+683+727+921</f>
        <v>2885</v>
      </c>
      <c r="K6" s="4270">
        <f>2104+1469+1677+2003+2439</f>
        <v>9692</v>
      </c>
      <c r="L6" s="4270">
        <f>1903+1898+2272+2307+2900</f>
        <v>11280</v>
      </c>
      <c r="M6" s="4271"/>
      <c r="N6" s="4271"/>
      <c r="O6" s="4272"/>
      <c r="P6" s="4272"/>
      <c r="Q6" s="4404"/>
      <c r="S6" s="4152" t="s">
        <v>1701</v>
      </c>
      <c r="T6" s="4160">
        <f>11549+7843+8176+15477</f>
        <v>43045</v>
      </c>
      <c r="U6" s="4160">
        <f>12117+8269+8850+16668</f>
        <v>45904</v>
      </c>
      <c r="V6" s="4160">
        <f>12685+8695+9524+17859</f>
        <v>48763</v>
      </c>
      <c r="W6" s="4161">
        <f>13253+9121+10198+19050</f>
        <v>51622</v>
      </c>
      <c r="X6" s="314">
        <f>14448+12600+12012+12696</f>
        <v>51756</v>
      </c>
      <c r="Y6" s="314">
        <f>10527+9108+9097+10076</f>
        <v>38808</v>
      </c>
      <c r="Z6" s="4270">
        <f>9012+9216+7848+7896+7956+8076</f>
        <v>50004</v>
      </c>
      <c r="AA6" s="4271"/>
      <c r="AB6" s="314"/>
      <c r="AC6" s="4273"/>
    </row>
    <row r="7" spans="2:29">
      <c r="B7" s="44"/>
      <c r="I7" s="5654">
        <f>SUM(I6:J6)</f>
        <v>5506</v>
      </c>
      <c r="J7" s="5654"/>
      <c r="K7" s="5655">
        <f>SUM(K6:L6)</f>
        <v>20972</v>
      </c>
      <c r="L7" s="5655"/>
      <c r="M7" s="5656">
        <f>SUM(M6:N6)</f>
        <v>0</v>
      </c>
      <c r="N7" s="5656"/>
      <c r="O7" s="4405"/>
      <c r="P7" s="4405"/>
      <c r="Q7" s="4168"/>
      <c r="S7" s="4152" t="s">
        <v>1702</v>
      </c>
      <c r="T7" s="4160">
        <f>6270+6195+6480+6075</f>
        <v>25020</v>
      </c>
      <c r="U7" s="4160">
        <f>8475+8160+6780+6645</f>
        <v>30060</v>
      </c>
      <c r="V7" s="4160">
        <f>8565+8085+6780+7095</f>
        <v>30525</v>
      </c>
      <c r="W7" s="4161">
        <f>8595+7155+7215+7035</f>
        <v>30000</v>
      </c>
      <c r="X7" s="314">
        <f>6780+5940+5880+6036</f>
        <v>24636</v>
      </c>
      <c r="Y7" s="314">
        <f>2658+2466+2544+2850</f>
        <v>10518</v>
      </c>
      <c r="Z7" s="4270">
        <f>3870+3930+3160+2970+2920+3130</f>
        <v>19980</v>
      </c>
      <c r="AA7" s="4271"/>
      <c r="AB7" s="314"/>
      <c r="AC7" s="4273"/>
    </row>
    <row r="8" spans="2:29">
      <c r="B8" s="44"/>
      <c r="C8" s="4157"/>
      <c r="D8" s="4157"/>
      <c r="I8" s="4406"/>
      <c r="J8" s="4406"/>
      <c r="K8" s="4166"/>
      <c r="L8" s="4166"/>
      <c r="M8" s="4167"/>
      <c r="N8" s="4167"/>
      <c r="Q8" s="4168"/>
      <c r="S8" s="4169" t="s">
        <v>32</v>
      </c>
      <c r="T8" s="4314">
        <f>T6+T7</f>
        <v>68065</v>
      </c>
      <c r="U8" s="4314">
        <f>U6+U7</f>
        <v>75964</v>
      </c>
      <c r="V8" s="4314">
        <f>V6+V7</f>
        <v>79288</v>
      </c>
      <c r="W8" s="4314">
        <f>W6+W7</f>
        <v>81622</v>
      </c>
      <c r="X8" s="4314">
        <f>X6+X7</f>
        <v>76392</v>
      </c>
      <c r="Y8" s="4314">
        <f>SUM(Y6:Y7)</f>
        <v>49326</v>
      </c>
      <c r="Z8" s="4357">
        <f>SUM(Z6:Z7)</f>
        <v>69984</v>
      </c>
      <c r="AA8" s="4359">
        <f>SUM(AA6:AA7)</f>
        <v>0</v>
      </c>
      <c r="AB8" s="4314"/>
      <c r="AC8" s="4316"/>
    </row>
    <row r="9" spans="2:29">
      <c r="B9" s="4176"/>
      <c r="C9" s="4157"/>
      <c r="D9" s="4157"/>
      <c r="F9" s="4379">
        <f>F6/E6-1</f>
        <v>2.1568299615448927E-2</v>
      </c>
      <c r="G9" s="4379">
        <f>G6/F6-1</f>
        <v>0.12782324058919814</v>
      </c>
      <c r="H9" s="4379">
        <f>H6/G6-1</f>
        <v>2.0000000000000018E-2</v>
      </c>
      <c r="I9" s="4406"/>
      <c r="J9" s="4407">
        <f>J6/H6-1</f>
        <v>-0.58954703634464956</v>
      </c>
      <c r="K9" s="4166"/>
      <c r="L9" s="4318">
        <f>L6/J6-1</f>
        <v>2.9098786828422876</v>
      </c>
      <c r="M9" s="4167"/>
      <c r="N9" s="4255">
        <f>N6/L6-1</f>
        <v>-1</v>
      </c>
      <c r="O9" s="4319"/>
      <c r="P9" s="4319"/>
      <c r="Q9" s="4317"/>
      <c r="S9" s="44"/>
      <c r="U9" s="4178">
        <f t="shared" ref="U9:AA9" si="0">U8/T8-1</f>
        <v>0.11605083376184533</v>
      </c>
      <c r="V9" s="4178">
        <f t="shared" si="0"/>
        <v>4.3757569374966998E-2</v>
      </c>
      <c r="W9" s="4178">
        <f t="shared" si="0"/>
        <v>2.9436989203914798E-2</v>
      </c>
      <c r="X9" s="4178">
        <f t="shared" si="0"/>
        <v>-6.4075861899977937E-2</v>
      </c>
      <c r="Y9" s="4178">
        <f t="shared" si="0"/>
        <v>-0.35430411561420039</v>
      </c>
      <c r="Z9" s="4318">
        <f t="shared" si="0"/>
        <v>0.41880549811458456</v>
      </c>
      <c r="AA9" s="4255">
        <f t="shared" si="0"/>
        <v>-1</v>
      </c>
      <c r="AB9" s="4178"/>
      <c r="AC9" s="300"/>
    </row>
    <row r="10" spans="2:29" ht="71.400000000000006">
      <c r="B10" s="4176"/>
      <c r="C10" s="4157"/>
      <c r="D10" s="4157"/>
      <c r="E10" s="5657" t="s">
        <v>1726</v>
      </c>
      <c r="F10" s="5657"/>
      <c r="G10" s="5657"/>
      <c r="H10" s="4202" t="s">
        <v>1824</v>
      </c>
      <c r="I10" s="5614" t="s">
        <v>1811</v>
      </c>
      <c r="J10" s="5614"/>
      <c r="K10" s="5601" t="s">
        <v>1707</v>
      </c>
      <c r="L10" s="5601"/>
      <c r="M10" s="5602"/>
      <c r="N10" s="5602"/>
      <c r="O10" s="4202"/>
      <c r="P10" s="4202"/>
      <c r="Q10" s="4168"/>
      <c r="S10" s="44"/>
      <c r="T10" s="5616" t="s">
        <v>1825</v>
      </c>
      <c r="U10" s="5616"/>
      <c r="V10" s="5616"/>
      <c r="W10" s="5616"/>
      <c r="X10" s="4408" t="s">
        <v>1826</v>
      </c>
      <c r="Y10" s="4408" t="s">
        <v>1827</v>
      </c>
      <c r="Z10" s="4313" t="s">
        <v>1785</v>
      </c>
      <c r="AA10" s="4409"/>
      <c r="AB10" s="4408"/>
      <c r="AC10" s="4378"/>
    </row>
    <row r="11" spans="2:29">
      <c r="B11" s="4176"/>
      <c r="C11" s="4157"/>
      <c r="D11" s="4157"/>
      <c r="E11" s="4410"/>
      <c r="F11" s="4379"/>
      <c r="G11" s="4379"/>
      <c r="H11" s="4379"/>
      <c r="K11" s="4166"/>
      <c r="L11" s="4166"/>
      <c r="M11" s="4167"/>
      <c r="N11" s="4167"/>
      <c r="Q11" s="4168"/>
      <c r="S11" s="44"/>
      <c r="T11" s="4360"/>
      <c r="U11" s="4360"/>
      <c r="V11" s="4360"/>
      <c r="W11" s="4360"/>
      <c r="Z11" s="4166"/>
      <c r="AA11" s="4167"/>
      <c r="AC11" s="4168"/>
    </row>
    <row r="12" spans="2:29">
      <c r="B12" s="4176"/>
      <c r="C12" s="4157"/>
      <c r="D12" s="4157"/>
      <c r="E12" s="4410"/>
      <c r="F12" s="4379"/>
      <c r="G12" s="4379"/>
      <c r="H12" s="4379"/>
      <c r="K12" s="4166"/>
      <c r="L12" s="4166"/>
      <c r="M12" s="4167"/>
      <c r="N12" s="4167"/>
      <c r="Q12" s="4168"/>
      <c r="S12" s="44"/>
      <c r="T12" s="4360"/>
      <c r="U12" s="4360"/>
      <c r="V12" s="4360"/>
      <c r="W12" s="4360"/>
      <c r="Z12" s="4166"/>
      <c r="AA12" s="4167"/>
      <c r="AC12" s="4168"/>
    </row>
    <row r="13" spans="2:29">
      <c r="B13" s="4411" t="s">
        <v>1828</v>
      </c>
      <c r="C13" s="4412">
        <v>4</v>
      </c>
      <c r="D13" s="4413"/>
      <c r="E13" s="4413">
        <f>E6/$C$13</f>
        <v>1495.25</v>
      </c>
      <c r="F13" s="4413">
        <f>F6/$C$13</f>
        <v>1527.5</v>
      </c>
      <c r="G13" s="4413">
        <f>G6/$C$13</f>
        <v>1722.75</v>
      </c>
      <c r="H13" s="4413">
        <f>H6/$C$13</f>
        <v>1757.2049999999999</v>
      </c>
      <c r="I13" s="4413"/>
      <c r="J13" s="4413">
        <f>J6/$C$13</f>
        <v>721.25</v>
      </c>
      <c r="K13" s="4413"/>
      <c r="L13" s="4413">
        <f>L6/$C$13</f>
        <v>2820</v>
      </c>
      <c r="M13" s="4413"/>
      <c r="N13" s="4413">
        <f>N6/$C$13</f>
        <v>0</v>
      </c>
      <c r="O13" s="4414"/>
      <c r="P13" s="4414"/>
      <c r="Q13" s="4415"/>
      <c r="S13" s="4208" t="s">
        <v>1710</v>
      </c>
      <c r="T13" s="4157">
        <f t="shared" ref="T13:AA13" si="1">(T6+T7)/4</f>
        <v>17016.25</v>
      </c>
      <c r="U13" s="4157">
        <f t="shared" si="1"/>
        <v>18991</v>
      </c>
      <c r="V13" s="4157">
        <f t="shared" si="1"/>
        <v>19822</v>
      </c>
      <c r="W13" s="4157">
        <f t="shared" si="1"/>
        <v>20405.5</v>
      </c>
      <c r="X13" s="314">
        <f t="shared" si="1"/>
        <v>19098</v>
      </c>
      <c r="Y13" s="314">
        <f t="shared" si="1"/>
        <v>12331.5</v>
      </c>
      <c r="Z13" s="4270">
        <f t="shared" si="1"/>
        <v>17496</v>
      </c>
      <c r="AA13" s="4271">
        <f t="shared" si="1"/>
        <v>0</v>
      </c>
      <c r="AB13" s="314"/>
      <c r="AC13" s="4273"/>
    </row>
    <row r="14" spans="2:29">
      <c r="B14" s="4416" t="s">
        <v>1829</v>
      </c>
      <c r="C14" s="4417">
        <v>4</v>
      </c>
      <c r="D14" s="4418"/>
      <c r="E14" s="4418"/>
      <c r="F14" s="4418"/>
      <c r="G14" s="4418"/>
      <c r="H14" s="4418"/>
      <c r="I14" s="4419">
        <f>I6/$C$14</f>
        <v>655.25</v>
      </c>
      <c r="J14" s="4419"/>
      <c r="K14" s="4419">
        <f>K6/$C$14</f>
        <v>2423</v>
      </c>
      <c r="L14" s="4419"/>
      <c r="M14" s="4419">
        <f>M6/$C$14</f>
        <v>0</v>
      </c>
      <c r="N14" s="4419"/>
      <c r="O14" s="4420"/>
      <c r="P14" s="4420"/>
      <c r="Q14" s="4421"/>
      <c r="S14" s="4208"/>
      <c r="T14" s="4157"/>
      <c r="U14" s="4157"/>
      <c r="V14" s="4157"/>
      <c r="W14" s="4157"/>
      <c r="X14" s="314"/>
      <c r="Y14" s="314"/>
      <c r="Z14" s="314"/>
      <c r="AA14" s="314"/>
      <c r="AB14" s="314"/>
      <c r="AC14" s="4273"/>
    </row>
    <row r="15" spans="2:29">
      <c r="B15" s="44"/>
      <c r="K15" s="4422" t="s">
        <v>1830</v>
      </c>
      <c r="Q15" s="4168"/>
      <c r="S15" s="44"/>
      <c r="T15" s="4423"/>
      <c r="U15" s="4423"/>
      <c r="V15" s="4423"/>
      <c r="AC15" s="4168"/>
    </row>
    <row r="16" spans="2:29" ht="15" thickBot="1">
      <c r="B16" s="4225"/>
      <c r="C16" s="4226"/>
      <c r="D16" s="4226"/>
      <c r="E16" s="4226"/>
      <c r="F16" s="4226"/>
      <c r="G16" s="4226"/>
      <c r="H16" s="4226"/>
      <c r="I16" s="4226"/>
      <c r="J16" s="4226"/>
      <c r="K16" s="4226"/>
      <c r="L16" s="4226"/>
      <c r="M16" s="4226"/>
      <c r="N16" s="4226"/>
      <c r="O16" s="4226"/>
      <c r="P16" s="4226"/>
      <c r="Q16" s="4227"/>
      <c r="S16" s="4225"/>
      <c r="T16" s="4226"/>
      <c r="U16" s="4226"/>
      <c r="V16" s="4226"/>
      <c r="W16" s="4226"/>
      <c r="X16" s="4226"/>
      <c r="Y16" s="4226"/>
      <c r="Z16" s="4226"/>
      <c r="AA16" s="4226"/>
      <c r="AB16" s="4226"/>
      <c r="AC16" s="4227"/>
    </row>
  </sheetData>
  <mergeCells count="14">
    <mergeCell ref="T10:W10"/>
    <mergeCell ref="I7:J7"/>
    <mergeCell ref="K7:L7"/>
    <mergeCell ref="M7:N7"/>
    <mergeCell ref="E10:G10"/>
    <mergeCell ref="I10:J10"/>
    <mergeCell ref="K10:L10"/>
    <mergeCell ref="M10:N10"/>
    <mergeCell ref="I3:J3"/>
    <mergeCell ref="K3:L3"/>
    <mergeCell ref="M3:N3"/>
    <mergeCell ref="I4:J4"/>
    <mergeCell ref="K4:L4"/>
    <mergeCell ref="M4:N4"/>
  </mergeCells>
  <pageMargins left="0.70866141732283472" right="0.70866141732283472" top="0.74803149606299213" bottom="0.74803149606299213" header="0.31496062992125984" footer="0.31496062992125984"/>
  <pageSetup paperSize="9" scale="39" orientation="landscape" verticalDpi="597"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EBF1-DF19-4F49-8D89-EB56A4802682}">
  <sheetPr>
    <tabColor rgb="FF7030A0"/>
    <pageSetUpPr fitToPage="1"/>
  </sheetPr>
  <dimension ref="B1:AE28"/>
  <sheetViews>
    <sheetView topLeftCell="A13" workbookViewId="0">
      <selection activeCell="G20" sqref="G20:K27"/>
    </sheetView>
  </sheetViews>
  <sheetFormatPr baseColWidth="10" defaultRowHeight="14.4"/>
  <cols>
    <col min="1" max="1" width="2.5546875" customWidth="1"/>
    <col min="2" max="2" width="22.77734375" customWidth="1"/>
    <col min="3" max="3" width="2" bestFit="1" customWidth="1"/>
    <col min="4" max="4" width="5" bestFit="1" customWidth="1"/>
    <col min="5" max="5" width="25.88671875" bestFit="1" customWidth="1"/>
    <col min="6" max="6" width="8" bestFit="1" customWidth="1"/>
    <col min="7" max="7" width="11.5546875" customWidth="1"/>
    <col min="8" max="8" width="12.77734375" bestFit="1" customWidth="1"/>
    <col min="9" max="15" width="12.109375" customWidth="1"/>
    <col min="19" max="19" width="4.77734375" customWidth="1"/>
    <col min="20" max="20" width="21.88671875" customWidth="1"/>
    <col min="21" max="21" width="2" bestFit="1" customWidth="1"/>
    <col min="22" max="22" width="11.21875" hidden="1" customWidth="1"/>
    <col min="23" max="24" width="12.33203125" hidden="1" customWidth="1"/>
    <col min="25" max="25" width="10.21875" bestFit="1" customWidth="1"/>
    <col min="26" max="28" width="11.21875" customWidth="1"/>
    <col min="29" max="29" width="13.109375" customWidth="1"/>
    <col min="30" max="33" width="11.21875" customWidth="1"/>
  </cols>
  <sheetData>
    <row r="1" spans="2:31" s="45" customFormat="1">
      <c r="B1" s="4130" t="s">
        <v>1831</v>
      </c>
      <c r="C1" s="4132"/>
      <c r="D1" s="4132"/>
      <c r="E1" s="4132"/>
      <c r="F1" s="4132"/>
      <c r="G1" s="4132"/>
      <c r="H1" s="4132"/>
      <c r="I1" s="4132"/>
      <c r="J1" s="4132"/>
      <c r="K1" s="4132"/>
      <c r="L1" s="4132"/>
      <c r="M1" s="4132"/>
      <c r="N1" s="4132"/>
      <c r="O1" s="4132"/>
      <c r="P1" s="4133"/>
      <c r="T1" s="4134" t="s">
        <v>1832</v>
      </c>
      <c r="U1" s="4136"/>
      <c r="V1" s="4136"/>
      <c r="W1" s="4136"/>
      <c r="X1" s="4136"/>
      <c r="Y1" s="4132"/>
      <c r="Z1" s="4132"/>
      <c r="AA1" s="4132"/>
      <c r="AB1" s="4132"/>
      <c r="AC1" s="4132"/>
      <c r="AD1" s="4132"/>
      <c r="AE1" s="4133"/>
    </row>
    <row r="2" spans="2:31">
      <c r="B2" s="44"/>
      <c r="P2" s="4168"/>
      <c r="T2" s="44"/>
      <c r="AE2" s="4168"/>
    </row>
    <row r="3" spans="2:31" s="2820" customFormat="1">
      <c r="B3" s="4230"/>
      <c r="C3" s="4216"/>
      <c r="D3" s="4216">
        <v>2015</v>
      </c>
      <c r="E3" s="4216">
        <v>2016</v>
      </c>
      <c r="F3" s="4216">
        <v>2017</v>
      </c>
      <c r="G3" s="4216">
        <v>2018</v>
      </c>
      <c r="H3" s="2820">
        <v>2019</v>
      </c>
      <c r="I3" s="5632">
        <v>2020</v>
      </c>
      <c r="J3" s="5632"/>
      <c r="K3" s="5623">
        <v>2021</v>
      </c>
      <c r="L3" s="5623"/>
      <c r="M3" s="5610">
        <v>2022</v>
      </c>
      <c r="N3" s="5610"/>
      <c r="O3" s="4216"/>
      <c r="P3" s="313"/>
      <c r="T3" s="312"/>
      <c r="V3" s="3979">
        <v>2015</v>
      </c>
      <c r="W3" s="3979">
        <v>2016</v>
      </c>
      <c r="X3" s="3979">
        <v>2017</v>
      </c>
      <c r="Y3" s="4216">
        <v>2018</v>
      </c>
      <c r="Z3" s="2820">
        <v>2019</v>
      </c>
      <c r="AA3" s="4216">
        <v>2020</v>
      </c>
      <c r="AB3" s="4212" t="s">
        <v>1419</v>
      </c>
      <c r="AC3" s="4220">
        <v>2022</v>
      </c>
      <c r="AD3"/>
      <c r="AE3" s="313"/>
    </row>
    <row r="4" spans="2:31" s="2820" customFormat="1">
      <c r="B4" s="4230"/>
      <c r="C4" s="4216"/>
      <c r="D4" s="4216"/>
      <c r="E4" s="4216"/>
      <c r="F4" s="4216"/>
      <c r="G4" s="4216"/>
      <c r="I4" s="4397" t="s">
        <v>1724</v>
      </c>
      <c r="J4" s="4424" t="s">
        <v>1699</v>
      </c>
      <c r="K4" s="4212" t="s">
        <v>1724</v>
      </c>
      <c r="L4" s="4253" t="s">
        <v>1699</v>
      </c>
      <c r="M4" s="4220" t="s">
        <v>1724</v>
      </c>
      <c r="N4" s="4167" t="s">
        <v>1699</v>
      </c>
      <c r="O4"/>
      <c r="P4" s="313"/>
      <c r="T4" s="312"/>
      <c r="V4" s="3979"/>
      <c r="W4" s="3979"/>
      <c r="X4" s="3979"/>
      <c r="Y4" s="4216"/>
      <c r="AA4" s="4216"/>
      <c r="AB4" s="4212"/>
      <c r="AC4" s="4220"/>
      <c r="AD4"/>
      <c r="AE4" s="313"/>
    </row>
    <row r="5" spans="2:31" s="2820" customFormat="1">
      <c r="B5" s="4230"/>
      <c r="C5" s="4216"/>
      <c r="D5" s="4216"/>
      <c r="E5" s="4216" t="s">
        <v>1833</v>
      </c>
      <c r="F5" s="4216" t="s">
        <v>1834</v>
      </c>
      <c r="G5" s="4216" t="s">
        <v>1835</v>
      </c>
      <c r="H5" s="2820" t="s">
        <v>1836</v>
      </c>
      <c r="I5" s="5632" t="s">
        <v>1837</v>
      </c>
      <c r="J5" s="5632"/>
      <c r="K5" s="5623" t="s">
        <v>1838</v>
      </c>
      <c r="L5" s="5623"/>
      <c r="M5" s="5658"/>
      <c r="N5" s="5658"/>
      <c r="O5" s="4216"/>
      <c r="P5" s="313"/>
      <c r="T5" s="312"/>
      <c r="V5" s="3979" t="s">
        <v>1839</v>
      </c>
      <c r="W5" s="3979" t="s">
        <v>1840</v>
      </c>
      <c r="X5" s="3979" t="s">
        <v>1841</v>
      </c>
      <c r="Y5" s="4216" t="s">
        <v>1842</v>
      </c>
      <c r="Z5" s="2820" t="s">
        <v>1843</v>
      </c>
      <c r="AA5" s="4216" t="s">
        <v>1837</v>
      </c>
      <c r="AB5" s="4212" t="s">
        <v>1844</v>
      </c>
      <c r="AC5" s="4395"/>
      <c r="AD5"/>
      <c r="AE5" s="313"/>
    </row>
    <row r="6" spans="2:31">
      <c r="B6" s="4152" t="s">
        <v>1700</v>
      </c>
      <c r="C6" s="4154"/>
      <c r="D6" s="4154"/>
      <c r="E6" s="4154">
        <v>9283</v>
      </c>
      <c r="F6" s="4154">
        <v>10817</v>
      </c>
      <c r="G6" s="4157">
        <v>10735</v>
      </c>
      <c r="H6" s="314">
        <f>G6*1.02</f>
        <v>10949.7</v>
      </c>
      <c r="I6" s="4154">
        <f>1423+429+944+1070</f>
        <v>3866</v>
      </c>
      <c r="J6" s="4425">
        <f>1175+903+1451+1488</f>
        <v>5017</v>
      </c>
      <c r="K6" s="4155">
        <f>2579+3045+2012+1958+2890</f>
        <v>12484</v>
      </c>
      <c r="L6" s="4155">
        <f>2434+2568+2532+2163+3010</f>
        <v>12707</v>
      </c>
      <c r="M6" s="4156"/>
      <c r="N6" s="4156"/>
      <c r="O6" s="4157"/>
      <c r="P6" s="4168"/>
      <c r="T6" s="4241" t="s">
        <v>1701</v>
      </c>
      <c r="U6" s="4153"/>
      <c r="V6" s="4160">
        <f>18100+16900+16300</f>
        <v>51300</v>
      </c>
      <c r="W6" s="4160">
        <f>18300+18000+17500+17300</f>
        <v>71100</v>
      </c>
      <c r="X6" s="4160">
        <f>19700+19500+18600</f>
        <v>57800</v>
      </c>
      <c r="Y6" s="4161">
        <f>19300+19000+19200</f>
        <v>57500</v>
      </c>
      <c r="Z6" s="314">
        <f>21609+21456+21882</f>
        <v>64947</v>
      </c>
      <c r="AA6" s="314">
        <f>4560+4424+4256+4328</f>
        <v>17568</v>
      </c>
      <c r="AB6" s="4270">
        <f>AA6*1.5</f>
        <v>26352</v>
      </c>
      <c r="AC6" s="4271"/>
      <c r="AE6" s="4168"/>
    </row>
    <row r="7" spans="2:31">
      <c r="B7" s="44"/>
      <c r="H7" s="1"/>
      <c r="J7" s="1">
        <f>SUM(I6:J6)</f>
        <v>8883</v>
      </c>
      <c r="K7" s="4166"/>
      <c r="L7" s="4426">
        <f>SUM(K6:L6)</f>
        <v>25191</v>
      </c>
      <c r="M7" s="4167"/>
      <c r="N7" s="4427">
        <f>SUM(M6:N6)</f>
        <v>0</v>
      </c>
      <c r="O7" s="1"/>
      <c r="P7" s="4168"/>
      <c r="T7" s="4241" t="s">
        <v>1702</v>
      </c>
      <c r="U7" s="4153"/>
      <c r="V7" s="4160">
        <f>8900+8340+8400</f>
        <v>25640</v>
      </c>
      <c r="W7" s="4160">
        <f>9080+8720+8580+8580</f>
        <v>34960</v>
      </c>
      <c r="X7" s="4160">
        <f>9780+9720+9280</f>
        <v>28780</v>
      </c>
      <c r="Y7" s="4161">
        <f>9640+9640+9580</f>
        <v>28860</v>
      </c>
      <c r="Z7" s="314">
        <f>9980+9720+9160</f>
        <v>28860</v>
      </c>
      <c r="AA7" s="314">
        <f>2384+2112+2080+2128</f>
        <v>8704</v>
      </c>
      <c r="AB7" s="4270">
        <f>AA7*1.5</f>
        <v>13056</v>
      </c>
      <c r="AC7" s="4271"/>
      <c r="AE7" s="4168"/>
    </row>
    <row r="8" spans="2:31">
      <c r="B8" s="44"/>
      <c r="C8" s="4157"/>
      <c r="D8" s="4157"/>
      <c r="F8" s="4157"/>
      <c r="G8" s="4157"/>
      <c r="I8" s="4157"/>
      <c r="J8" s="4157"/>
      <c r="K8" s="4155"/>
      <c r="L8" s="4166"/>
      <c r="M8" s="4156"/>
      <c r="N8" s="4167"/>
      <c r="P8" s="4168"/>
      <c r="T8" s="4169" t="s">
        <v>32</v>
      </c>
      <c r="U8" s="4254"/>
      <c r="V8" s="4170">
        <f t="shared" ref="V8:AC8" si="0">V6+V7</f>
        <v>76940</v>
      </c>
      <c r="W8" s="4170">
        <f t="shared" si="0"/>
        <v>106060</v>
      </c>
      <c r="X8" s="4170">
        <f t="shared" si="0"/>
        <v>86580</v>
      </c>
      <c r="Y8" s="4170">
        <f t="shared" si="0"/>
        <v>86360</v>
      </c>
      <c r="Z8" s="4170">
        <f t="shared" si="0"/>
        <v>93807</v>
      </c>
      <c r="AA8" s="4170">
        <f t="shared" si="0"/>
        <v>26272</v>
      </c>
      <c r="AB8" s="4171">
        <f t="shared" si="0"/>
        <v>39408</v>
      </c>
      <c r="AC8" s="4172">
        <f t="shared" si="0"/>
        <v>0</v>
      </c>
      <c r="AE8" s="4168"/>
    </row>
    <row r="9" spans="2:31">
      <c r="B9" s="44"/>
      <c r="C9" s="4157"/>
      <c r="D9" s="4157"/>
      <c r="F9" s="4379">
        <f>F6/E6-1</f>
        <v>0.16524830335021012</v>
      </c>
      <c r="G9" s="4379">
        <f>G6/F6-1</f>
        <v>-7.5806600721086692E-3</v>
      </c>
      <c r="H9" s="4178">
        <f>H6/G6-1</f>
        <v>2.0000000000000018E-2</v>
      </c>
      <c r="J9" s="4379">
        <f>J6/H6-1</f>
        <v>-0.54181393097527786</v>
      </c>
      <c r="K9" s="4380"/>
      <c r="L9" s="4380">
        <f>L6/J6-1</f>
        <v>1.5327885190352801</v>
      </c>
      <c r="M9" s="4381"/>
      <c r="N9" s="4381">
        <f>N6/L6-1</f>
        <v>-1</v>
      </c>
      <c r="O9" s="4428"/>
      <c r="P9" s="300"/>
      <c r="Q9" s="4178"/>
      <c r="R9" s="4178"/>
      <c r="T9" s="4169"/>
      <c r="U9" s="4254"/>
      <c r="V9" s="4170"/>
      <c r="W9" s="4256">
        <f t="shared" ref="W9:AC9" si="1">W8/V8-1</f>
        <v>0.37847673511827407</v>
      </c>
      <c r="X9" s="4256">
        <f t="shared" si="1"/>
        <v>-0.18366962096926265</v>
      </c>
      <c r="Y9" s="4256">
        <f t="shared" si="1"/>
        <v>-2.541002541002535E-3</v>
      </c>
      <c r="Z9" s="4256">
        <f t="shared" si="1"/>
        <v>8.6232051875868354E-2</v>
      </c>
      <c r="AA9" s="4256">
        <f t="shared" si="1"/>
        <v>-0.71993561248094484</v>
      </c>
      <c r="AB9" s="4429">
        <f t="shared" si="1"/>
        <v>0.5</v>
      </c>
      <c r="AC9" s="4257">
        <f t="shared" si="1"/>
        <v>-1</v>
      </c>
      <c r="AE9" s="4168"/>
    </row>
    <row r="10" spans="2:31" ht="46.8" customHeight="1">
      <c r="B10" s="4176"/>
      <c r="C10" s="4157"/>
      <c r="D10" s="4157"/>
      <c r="E10" s="4410" t="s">
        <v>1726</v>
      </c>
      <c r="K10" s="5601" t="s">
        <v>1707</v>
      </c>
      <c r="L10" s="5601"/>
      <c r="M10" s="4167"/>
      <c r="N10" s="4167"/>
      <c r="P10" s="4168"/>
      <c r="T10" s="44"/>
      <c r="V10" s="5622" t="s">
        <v>1767</v>
      </c>
      <c r="W10" s="5622"/>
      <c r="X10" s="5622"/>
      <c r="Y10" s="5622"/>
      <c r="Z10" s="4430"/>
      <c r="AA10" s="4430"/>
      <c r="AB10" s="4313" t="s">
        <v>1785</v>
      </c>
      <c r="AC10" s="4431"/>
      <c r="AE10" s="4168"/>
    </row>
    <row r="11" spans="2:31">
      <c r="B11" s="4176"/>
      <c r="C11" s="4157"/>
      <c r="D11" s="4157"/>
      <c r="E11" s="4157"/>
      <c r="K11" s="4166"/>
      <c r="L11" s="4166"/>
      <c r="M11" s="4167"/>
      <c r="N11" s="4167"/>
      <c r="P11" s="4168"/>
      <c r="T11" s="44"/>
      <c r="V11" s="314"/>
      <c r="W11" s="314"/>
      <c r="X11" s="314"/>
      <c r="Y11" s="314"/>
      <c r="Z11" s="314"/>
      <c r="AA11" s="314"/>
      <c r="AB11" s="4270"/>
      <c r="AC11" s="4271"/>
      <c r="AE11" s="4168"/>
    </row>
    <row r="12" spans="2:31">
      <c r="B12" s="4176"/>
      <c r="C12" s="4157"/>
      <c r="D12" s="4157"/>
      <c r="E12" s="4157"/>
      <c r="F12" s="4157"/>
      <c r="G12" s="4157"/>
      <c r="I12" s="4157"/>
      <c r="J12" s="4157"/>
      <c r="K12" s="4155"/>
      <c r="L12" s="4166"/>
      <c r="M12" s="4156"/>
      <c r="N12" s="4167"/>
      <c r="P12" s="4168"/>
      <c r="T12" s="4265" t="s">
        <v>1732</v>
      </c>
      <c r="U12" s="4209">
        <v>3</v>
      </c>
      <c r="V12" s="4278">
        <f t="shared" ref="V12:AC12" si="2">(V6+V7)/$U$12</f>
        <v>25646.666666666668</v>
      </c>
      <c r="W12" s="4278">
        <f t="shared" si="2"/>
        <v>35353.333333333336</v>
      </c>
      <c r="X12" s="4278">
        <f t="shared" si="2"/>
        <v>28860</v>
      </c>
      <c r="Y12" s="4278">
        <f t="shared" si="2"/>
        <v>28786.666666666668</v>
      </c>
      <c r="Z12" s="4278">
        <f t="shared" si="2"/>
        <v>31269</v>
      </c>
      <c r="AA12" s="4278">
        <f t="shared" si="2"/>
        <v>8757.3333333333339</v>
      </c>
      <c r="AB12" s="4162">
        <f t="shared" si="2"/>
        <v>13136</v>
      </c>
      <c r="AC12" s="4163">
        <f t="shared" si="2"/>
        <v>0</v>
      </c>
      <c r="AE12" s="4168"/>
    </row>
    <row r="13" spans="2:31">
      <c r="B13" s="4265" t="s">
        <v>1710</v>
      </c>
      <c r="C13" s="4432">
        <v>4</v>
      </c>
      <c r="D13" s="4157"/>
      <c r="E13" s="4157">
        <f t="shared" ref="E13:N13" si="3">E6/$C$13</f>
        <v>2320.75</v>
      </c>
      <c r="F13" s="4157">
        <f t="shared" si="3"/>
        <v>2704.25</v>
      </c>
      <c r="G13" s="4157">
        <f t="shared" si="3"/>
        <v>2683.75</v>
      </c>
      <c r="H13" s="4157">
        <f t="shared" si="3"/>
        <v>2737.4250000000002</v>
      </c>
      <c r="I13" s="4157">
        <f t="shared" si="3"/>
        <v>966.5</v>
      </c>
      <c r="J13" s="4157">
        <f t="shared" si="3"/>
        <v>1254.25</v>
      </c>
      <c r="K13" s="4162">
        <f t="shared" si="3"/>
        <v>3121</v>
      </c>
      <c r="L13" s="4162">
        <f t="shared" si="3"/>
        <v>3176.75</v>
      </c>
      <c r="M13" s="4163">
        <f t="shared" si="3"/>
        <v>0</v>
      </c>
      <c r="N13" s="4163">
        <f t="shared" si="3"/>
        <v>0</v>
      </c>
      <c r="O13" s="4164"/>
      <c r="P13" s="4273"/>
      <c r="T13" s="4265" t="s">
        <v>1710</v>
      </c>
      <c r="U13" s="4209">
        <v>4</v>
      </c>
      <c r="V13" s="4290"/>
      <c r="W13" s="4278">
        <f>(W6+W7)/$U$13</f>
        <v>26515</v>
      </c>
      <c r="X13" s="4290"/>
      <c r="Y13" s="4290"/>
      <c r="Z13" s="4290"/>
      <c r="AA13" s="4290"/>
      <c r="AB13" s="4162"/>
      <c r="AC13" s="4163"/>
      <c r="AE13" s="4168"/>
    </row>
    <row r="14" spans="2:31">
      <c r="B14" s="4265" t="s">
        <v>1845</v>
      </c>
      <c r="C14" s="4432">
        <v>5</v>
      </c>
      <c r="D14" s="4157"/>
      <c r="E14" s="4157">
        <f>E6/$C$14</f>
        <v>1856.6</v>
      </c>
      <c r="F14" s="4157">
        <f>F6/$C$14</f>
        <v>2163.4</v>
      </c>
      <c r="G14" s="4157">
        <f>G6/$C$14</f>
        <v>2147</v>
      </c>
      <c r="H14" s="4157"/>
      <c r="I14" s="4157"/>
      <c r="J14" s="4157"/>
      <c r="K14" s="4162">
        <f>K6/$C$14</f>
        <v>2496.8000000000002</v>
      </c>
      <c r="L14" s="4162">
        <f>L6/$C$14</f>
        <v>2541.4</v>
      </c>
      <c r="M14" s="4163">
        <f>M6/$C$14</f>
        <v>0</v>
      </c>
      <c r="N14" s="4163">
        <f>N6/$C$14</f>
        <v>0</v>
      </c>
      <c r="O14" s="4164"/>
      <c r="P14" s="4273"/>
      <c r="T14" s="4265"/>
      <c r="U14" s="4209"/>
      <c r="V14" s="4290"/>
      <c r="W14" s="4278"/>
      <c r="X14" s="4290"/>
      <c r="Y14" s="4290"/>
      <c r="Z14" s="4290"/>
      <c r="AA14" s="4290"/>
      <c r="AB14" s="4162"/>
      <c r="AC14" s="4163"/>
      <c r="AE14" s="4168"/>
    </row>
    <row r="15" spans="2:31">
      <c r="B15" s="4265" t="s">
        <v>1846</v>
      </c>
      <c r="C15" s="4432">
        <v>6</v>
      </c>
      <c r="D15" s="4157"/>
      <c r="E15" s="4157">
        <f>E6/$C$15</f>
        <v>1547.1666666666667</v>
      </c>
      <c r="F15" s="4157">
        <f>F6/$C$15</f>
        <v>1802.8333333333333</v>
      </c>
      <c r="G15" s="4278">
        <f>G6/$C$15</f>
        <v>1789.1666666666667</v>
      </c>
      <c r="H15" s="314"/>
      <c r="I15" s="4278"/>
      <c r="J15" s="4278"/>
      <c r="K15" s="4162"/>
      <c r="L15" s="4166"/>
      <c r="M15" s="4163">
        <f>M6/$C$15</f>
        <v>0</v>
      </c>
      <c r="N15" s="4167">
        <f>N6/$C$15</f>
        <v>0</v>
      </c>
      <c r="P15" s="4273"/>
      <c r="Q15" s="314"/>
      <c r="R15" s="314"/>
      <c r="T15" s="44"/>
      <c r="AB15" s="4166"/>
      <c r="AC15" s="4167"/>
      <c r="AE15" s="4168"/>
    </row>
    <row r="16" spans="2:31" ht="19.8">
      <c r="B16" s="44"/>
      <c r="K16" s="4166"/>
      <c r="L16" s="4166"/>
      <c r="M16" s="4167"/>
      <c r="N16" s="4167"/>
      <c r="P16" s="4168"/>
      <c r="T16" s="44"/>
      <c r="AA16" s="4433" t="s">
        <v>1847</v>
      </c>
      <c r="AB16" s="4434" t="s">
        <v>866</v>
      </c>
      <c r="AC16" s="4435"/>
      <c r="AE16" s="4168"/>
    </row>
    <row r="17" spans="2:31">
      <c r="B17" s="44"/>
      <c r="I17" s="4422" t="s">
        <v>1847</v>
      </c>
      <c r="K17" s="4422" t="s">
        <v>1830</v>
      </c>
      <c r="P17" s="4168"/>
      <c r="T17" s="44"/>
      <c r="AB17" s="4166"/>
      <c r="AC17" s="4167"/>
      <c r="AE17" s="4168"/>
    </row>
    <row r="18" spans="2:31" ht="15" thickBot="1">
      <c r="B18" s="4225"/>
      <c r="C18" s="4226"/>
      <c r="D18" s="4226"/>
      <c r="E18" s="4226"/>
      <c r="F18" s="4226"/>
      <c r="G18" s="4226"/>
      <c r="H18" s="4226"/>
      <c r="I18" s="4226"/>
      <c r="J18" s="4226"/>
      <c r="K18" s="4226"/>
      <c r="L18" s="4226"/>
      <c r="M18" s="4226"/>
      <c r="N18" s="4226"/>
      <c r="O18" s="4226"/>
      <c r="P18" s="4227"/>
      <c r="T18" s="4225"/>
      <c r="U18" s="4226"/>
      <c r="V18" s="4226"/>
      <c r="W18" s="4226"/>
      <c r="X18" s="4226"/>
      <c r="Y18" s="4226"/>
      <c r="Z18" s="4226"/>
      <c r="AA18" s="4226"/>
      <c r="AB18" s="4226"/>
      <c r="AC18" s="4226"/>
      <c r="AD18" s="4226"/>
      <c r="AE18" s="4227"/>
    </row>
    <row r="20" spans="2:31">
      <c r="G20">
        <v>2018</v>
      </c>
      <c r="H20">
        <v>2019</v>
      </c>
      <c r="I20">
        <v>2020</v>
      </c>
      <c r="K20">
        <v>2021</v>
      </c>
      <c r="Y20">
        <v>2018</v>
      </c>
      <c r="Z20">
        <v>2019</v>
      </c>
      <c r="AA20">
        <v>2020</v>
      </c>
      <c r="AB20">
        <v>2021</v>
      </c>
    </row>
    <row r="21" spans="2:31" s="22" customFormat="1" ht="12">
      <c r="G21" s="22" t="s">
        <v>1848</v>
      </c>
      <c r="Y21" s="22" t="s">
        <v>1849</v>
      </c>
    </row>
    <row r="22" spans="2:31" s="22" customFormat="1" ht="12">
      <c r="G22" s="22">
        <v>100</v>
      </c>
      <c r="H22" s="22">
        <v>100</v>
      </c>
      <c r="I22" s="22">
        <v>100</v>
      </c>
      <c r="K22" s="22">
        <v>100</v>
      </c>
      <c r="Y22" s="22">
        <v>60</v>
      </c>
      <c r="Z22" s="22">
        <v>60</v>
      </c>
      <c r="AA22" s="22">
        <v>60</v>
      </c>
      <c r="AB22" s="4436"/>
      <c r="AC22" s="4436"/>
      <c r="AD22" s="4436"/>
    </row>
    <row r="23" spans="2:31" s="22" customFormat="1" ht="12">
      <c r="G23" s="4436">
        <f>G6*G22</f>
        <v>1073500</v>
      </c>
      <c r="H23" s="4436">
        <f>H6*H22</f>
        <v>1094970</v>
      </c>
      <c r="I23" s="4436">
        <f>(J6)*I22</f>
        <v>501700</v>
      </c>
      <c r="J23" s="4436"/>
      <c r="K23" s="4436">
        <f>(L6)*K22</f>
        <v>1270700</v>
      </c>
      <c r="L23" s="4436"/>
      <c r="M23" s="4436"/>
      <c r="N23" s="4436"/>
      <c r="O23" s="4436"/>
      <c r="Y23" s="4436">
        <f>Y8*Y22</f>
        <v>5181600</v>
      </c>
      <c r="Z23" s="4436">
        <f>Z8*Z22</f>
        <v>5628420</v>
      </c>
      <c r="AA23" s="4436">
        <f>AA8*AA22</f>
        <v>1576320</v>
      </c>
    </row>
    <row r="25" spans="2:31" s="22" customFormat="1" ht="12"/>
    <row r="26" spans="2:31" s="22" customFormat="1" ht="12">
      <c r="G26" s="22" t="s">
        <v>1850</v>
      </c>
    </row>
    <row r="27" spans="2:31" s="22" customFormat="1" ht="12">
      <c r="G27" s="4437">
        <f>G23+Y23</f>
        <v>6255100</v>
      </c>
      <c r="H27" s="4437">
        <f>H23+Z23</f>
        <v>6723390</v>
      </c>
      <c r="I27" s="4437">
        <f>I23+AA23</f>
        <v>2078020</v>
      </c>
      <c r="J27" s="4437"/>
      <c r="K27" s="4437">
        <f>K23+AB23</f>
        <v>1270700</v>
      </c>
      <c r="L27" s="4437"/>
      <c r="M27" s="4437"/>
      <c r="N27" s="4437"/>
      <c r="O27" s="4437"/>
    </row>
    <row r="28" spans="2:31" s="22" customFormat="1" ht="12"/>
  </sheetData>
  <mergeCells count="8">
    <mergeCell ref="K10:L10"/>
    <mergeCell ref="V10:Y10"/>
    <mergeCell ref="I3:J3"/>
    <mergeCell ref="K3:L3"/>
    <mergeCell ref="M3:N3"/>
    <mergeCell ref="I5:J5"/>
    <mergeCell ref="K5:L5"/>
    <mergeCell ref="M5:N5"/>
  </mergeCells>
  <pageMargins left="0.70866141732283472" right="0.70866141732283472" top="0.74803149606299213" bottom="0.74803149606299213" header="0.31496062992125984" footer="0.31496062992125984"/>
  <pageSetup paperSize="9" scale="41" orientation="landscape"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0988-0E16-4B15-AD08-CE6D43A5A469}">
  <sheetPr>
    <tabColor rgb="FF7030A0"/>
  </sheetPr>
  <dimension ref="B1:V14"/>
  <sheetViews>
    <sheetView workbookViewId="0">
      <selection sqref="A1:XFD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130" t="s">
        <v>1851</v>
      </c>
      <c r="C1" s="4132"/>
      <c r="D1" s="4132"/>
      <c r="E1" s="4132"/>
      <c r="F1" s="4132"/>
      <c r="G1" s="4132"/>
      <c r="H1" s="4132"/>
      <c r="I1" s="4132"/>
      <c r="J1" s="4133"/>
      <c r="N1" s="4134" t="s">
        <v>1852</v>
      </c>
      <c r="O1" s="4136"/>
      <c r="P1" s="4136"/>
      <c r="Q1" s="4136"/>
      <c r="R1" s="4132"/>
      <c r="S1" s="4132"/>
      <c r="T1" s="4132"/>
      <c r="U1" s="4132"/>
      <c r="V1" s="4133"/>
    </row>
    <row r="2" spans="2:22">
      <c r="B2" s="44"/>
      <c r="J2" s="4168"/>
      <c r="N2" s="44"/>
      <c r="V2" s="4168"/>
    </row>
    <row r="3" spans="2:22" s="2820" customFormat="1">
      <c r="B3" s="4230"/>
      <c r="C3" s="4216"/>
      <c r="D3" s="5632">
        <v>2021</v>
      </c>
      <c r="E3" s="5632"/>
      <c r="F3" s="5610">
        <v>2022</v>
      </c>
      <c r="G3" s="5610"/>
      <c r="J3" s="313"/>
      <c r="N3" s="312"/>
      <c r="P3" s="4216">
        <v>2021</v>
      </c>
      <c r="Q3" s="4220">
        <v>2022</v>
      </c>
      <c r="R3" s="4216"/>
      <c r="V3" s="313"/>
    </row>
    <row r="4" spans="2:22" s="2820" customFormat="1">
      <c r="B4" s="4230"/>
      <c r="C4" s="4216"/>
      <c r="D4" s="4397" t="s">
        <v>1724</v>
      </c>
      <c r="E4" s="4424" t="s">
        <v>1699</v>
      </c>
      <c r="F4" s="4400" t="s">
        <v>1724</v>
      </c>
      <c r="G4" s="4401" t="s">
        <v>1699</v>
      </c>
      <c r="J4" s="313"/>
      <c r="N4" s="312"/>
      <c r="P4" s="4216" t="s">
        <v>1853</v>
      </c>
      <c r="Q4" s="4395"/>
      <c r="R4" s="4216"/>
      <c r="V4" s="313"/>
    </row>
    <row r="5" spans="2:22">
      <c r="B5" s="4230"/>
      <c r="C5" s="4154"/>
      <c r="D5" s="5632" t="s">
        <v>1853</v>
      </c>
      <c r="E5" s="5632"/>
      <c r="F5" s="5658"/>
      <c r="G5" s="5658"/>
      <c r="I5" s="314"/>
      <c r="J5" s="4168"/>
      <c r="N5" s="4241" t="s">
        <v>1701</v>
      </c>
      <c r="O5" s="4153"/>
      <c r="P5" s="4160">
        <f>8604+9024+8796+8700</f>
        <v>35124</v>
      </c>
      <c r="Q5" s="4354"/>
      <c r="R5" s="4161"/>
      <c r="S5" s="314"/>
      <c r="T5" s="314"/>
      <c r="U5" s="314"/>
      <c r="V5" s="4168"/>
    </row>
    <row r="6" spans="2:22">
      <c r="B6" s="4152" t="s">
        <v>1700</v>
      </c>
      <c r="D6" s="4154">
        <f>3105+1605+1096+1926</f>
        <v>7732</v>
      </c>
      <c r="E6" s="4425">
        <f>2782+2580+1975+1994</f>
        <v>9331</v>
      </c>
      <c r="F6" s="4156"/>
      <c r="G6" s="4156"/>
      <c r="J6" s="4168"/>
      <c r="N6" s="4241" t="s">
        <v>1702</v>
      </c>
      <c r="O6" s="4153"/>
      <c r="P6" s="4160">
        <f>4780+4620+4510+4410</f>
        <v>18320</v>
      </c>
      <c r="Q6" s="4354"/>
      <c r="R6" s="4161"/>
      <c r="S6" s="314"/>
      <c r="T6" s="314"/>
      <c r="U6" s="314"/>
      <c r="V6" s="4168"/>
    </row>
    <row r="7" spans="2:22">
      <c r="B7" s="44"/>
      <c r="C7" s="4157"/>
      <c r="D7" s="4157"/>
      <c r="E7" s="4157">
        <f>SUM(D6:E6)</f>
        <v>17063</v>
      </c>
      <c r="F7" s="4156"/>
      <c r="G7" s="4156">
        <f>SUM(F6:G6)</f>
        <v>0</v>
      </c>
      <c r="J7" s="4168"/>
      <c r="N7" s="4169" t="s">
        <v>32</v>
      </c>
      <c r="O7" s="4254"/>
      <c r="P7" s="4170">
        <f>SUM(P5:P6)</f>
        <v>53444</v>
      </c>
      <c r="Q7" s="4172">
        <f>SUM(Q5:Q6)</f>
        <v>0</v>
      </c>
      <c r="R7" s="4170"/>
      <c r="S7" s="4170"/>
      <c r="T7" s="4170"/>
      <c r="U7" s="4170"/>
      <c r="V7" s="4168"/>
    </row>
    <row r="8" spans="2:22">
      <c r="B8" s="44"/>
      <c r="C8" s="4157"/>
      <c r="D8" s="4379"/>
      <c r="E8" s="4428"/>
      <c r="F8" s="4381"/>
      <c r="G8" s="4381"/>
      <c r="I8" s="4178"/>
      <c r="J8" s="300"/>
      <c r="K8" s="4178"/>
      <c r="L8" s="4178"/>
      <c r="N8" s="4169"/>
      <c r="O8" s="4254"/>
      <c r="P8" s="4256"/>
      <c r="Q8" s="4257"/>
      <c r="R8" s="4256"/>
      <c r="S8" s="4256"/>
      <c r="T8" s="4256"/>
      <c r="U8" s="4256"/>
      <c r="V8" s="4168"/>
    </row>
    <row r="9" spans="2:22" ht="46.8" customHeight="1">
      <c r="B9" s="4176"/>
      <c r="C9" s="4157"/>
      <c r="D9" s="5601" t="s">
        <v>1707</v>
      </c>
      <c r="E9" s="5601"/>
      <c r="F9" s="4167"/>
      <c r="G9" s="4167"/>
      <c r="J9" s="4168"/>
      <c r="N9" s="44"/>
      <c r="P9" s="4313" t="s">
        <v>1785</v>
      </c>
      <c r="Q9" s="4431"/>
      <c r="R9" s="4430"/>
      <c r="S9" s="4430"/>
      <c r="T9" s="4430"/>
      <c r="U9" s="4430"/>
      <c r="V9" s="4168"/>
    </row>
    <row r="10" spans="2:22">
      <c r="B10" s="44"/>
      <c r="F10" s="4167"/>
      <c r="G10" s="4167"/>
      <c r="J10" s="4168"/>
      <c r="N10" s="44"/>
      <c r="P10" s="314"/>
      <c r="Q10" s="4271"/>
      <c r="R10" s="314"/>
      <c r="S10" s="314"/>
      <c r="T10" s="314"/>
      <c r="U10" s="314"/>
      <c r="V10" s="4168"/>
    </row>
    <row r="11" spans="2:22">
      <c r="B11" s="4265" t="s">
        <v>1854</v>
      </c>
      <c r="C11" s="4209">
        <v>3</v>
      </c>
      <c r="D11" s="4278">
        <f>D6/C11</f>
        <v>2577.3333333333335</v>
      </c>
      <c r="E11" s="4164">
        <f>E6/C11</f>
        <v>3110.3333333333335</v>
      </c>
      <c r="F11" s="4163">
        <f>F6/E11</f>
        <v>0</v>
      </c>
      <c r="G11" s="4163">
        <f>G6/E11</f>
        <v>0</v>
      </c>
      <c r="I11" s="314"/>
      <c r="J11" s="4273"/>
      <c r="N11" s="4265" t="s">
        <v>1854</v>
      </c>
      <c r="O11" s="4209">
        <v>3</v>
      </c>
      <c r="P11" s="4278">
        <f>P7/O11</f>
        <v>17814.666666666668</v>
      </c>
      <c r="Q11" s="4163">
        <f>Q7/P11</f>
        <v>0</v>
      </c>
      <c r="R11" s="4278"/>
      <c r="S11" s="4278"/>
      <c r="T11" s="4278"/>
      <c r="U11" s="4278"/>
      <c r="V11" s="4168"/>
    </row>
    <row r="12" spans="2:22">
      <c r="B12" s="44"/>
      <c r="E12" s="4340">
        <f>D11+E11</f>
        <v>5687.666666666667</v>
      </c>
      <c r="F12" s="4167"/>
      <c r="G12" s="4438">
        <f>F11+G11</f>
        <v>0</v>
      </c>
      <c r="J12" s="4168"/>
      <c r="N12" s="4265" t="s">
        <v>1854</v>
      </c>
      <c r="O12" s="4209">
        <v>4</v>
      </c>
      <c r="P12" s="4278">
        <f>P7/O12</f>
        <v>13361</v>
      </c>
      <c r="Q12" s="4163">
        <f>Q7/P12</f>
        <v>0</v>
      </c>
      <c r="R12" s="4290"/>
      <c r="S12" s="4290"/>
      <c r="T12" s="4290"/>
      <c r="U12" s="4290"/>
      <c r="V12" s="4168"/>
    </row>
    <row r="13" spans="2:22">
      <c r="B13" s="44"/>
      <c r="D13" s="4422" t="s">
        <v>1830</v>
      </c>
      <c r="J13" s="4168"/>
      <c r="K13" s="314"/>
      <c r="L13" s="314"/>
      <c r="N13" s="44"/>
      <c r="P13" s="4433" t="s">
        <v>1847</v>
      </c>
      <c r="V13" s="4168"/>
    </row>
    <row r="14" spans="2:22" ht="15" thickBot="1">
      <c r="B14" s="4225"/>
      <c r="C14" s="4226"/>
      <c r="D14" s="4226"/>
      <c r="E14" s="4226"/>
      <c r="F14" s="4226"/>
      <c r="G14" s="4226"/>
      <c r="H14" s="4226"/>
      <c r="I14" s="4226"/>
      <c r="J14" s="4227"/>
      <c r="N14" s="4225"/>
      <c r="O14" s="4226"/>
      <c r="P14" s="4226"/>
      <c r="Q14" s="4226"/>
      <c r="R14" s="4226"/>
      <c r="S14" s="4226"/>
      <c r="T14" s="4226"/>
      <c r="U14" s="4226"/>
      <c r="V14" s="4227"/>
    </row>
  </sheetData>
  <mergeCells count="5">
    <mergeCell ref="D3:E3"/>
    <mergeCell ref="F3:G3"/>
    <mergeCell ref="D5:E5"/>
    <mergeCell ref="F5:G5"/>
    <mergeCell ref="D9:E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6C4A-92A7-464F-8B79-91ADBC331D94}">
  <sheetPr>
    <tabColor rgb="FF7030A0"/>
  </sheetPr>
  <dimension ref="B1:V15"/>
  <sheetViews>
    <sheetView workbookViewId="0">
      <selection activeCell="E6" sqref="E6"/>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130" t="s">
        <v>1855</v>
      </c>
      <c r="C1" s="4132"/>
      <c r="D1" s="4132"/>
      <c r="E1" s="4132"/>
      <c r="F1" s="4132"/>
      <c r="G1" s="4132"/>
      <c r="H1" s="4132"/>
      <c r="I1" s="4132"/>
      <c r="J1" s="4133"/>
      <c r="N1" s="4134" t="s">
        <v>1856</v>
      </c>
      <c r="O1" s="4136"/>
      <c r="P1" s="4136"/>
      <c r="Q1" s="4136"/>
      <c r="R1" s="4132"/>
      <c r="S1" s="4132"/>
      <c r="T1" s="4132"/>
      <c r="U1" s="4132"/>
      <c r="V1" s="4133"/>
    </row>
    <row r="2" spans="2:22">
      <c r="B2" s="44"/>
      <c r="J2" s="4168"/>
      <c r="N2" s="44"/>
      <c r="V2" s="4168"/>
    </row>
    <row r="3" spans="2:22" s="2820" customFormat="1">
      <c r="B3" s="4230"/>
      <c r="C3" s="4216"/>
      <c r="D3" s="5632">
        <v>2021</v>
      </c>
      <c r="E3" s="5632"/>
      <c r="F3" s="5610">
        <v>2022</v>
      </c>
      <c r="G3" s="5610"/>
      <c r="J3" s="313"/>
      <c r="N3" s="312"/>
      <c r="P3" s="4216">
        <v>2021</v>
      </c>
      <c r="Q3" s="4220">
        <v>2022</v>
      </c>
      <c r="R3" s="4216"/>
      <c r="V3" s="313"/>
    </row>
    <row r="4" spans="2:22" s="2820" customFormat="1">
      <c r="B4" s="4230"/>
      <c r="C4" s="4216"/>
      <c r="D4" s="4397" t="s">
        <v>1724</v>
      </c>
      <c r="E4" s="4424" t="s">
        <v>1699</v>
      </c>
      <c r="F4" s="4400" t="s">
        <v>1724</v>
      </c>
      <c r="G4" s="4401" t="s">
        <v>1699</v>
      </c>
      <c r="J4" s="313"/>
      <c r="N4" s="312"/>
      <c r="P4" s="4216" t="s">
        <v>1857</v>
      </c>
      <c r="Q4" s="4395"/>
      <c r="R4" s="4216"/>
      <c r="V4" s="313"/>
    </row>
    <row r="5" spans="2:22" s="2820" customFormat="1">
      <c r="B5" s="4230"/>
      <c r="C5" s="4216"/>
      <c r="D5" s="5632" t="s">
        <v>1857</v>
      </c>
      <c r="E5" s="5632"/>
      <c r="F5" s="5658"/>
      <c r="G5" s="5658"/>
      <c r="J5" s="313"/>
      <c r="N5" s="312"/>
      <c r="P5" s="4216"/>
      <c r="Q5" s="4220"/>
      <c r="R5" s="4216"/>
      <c r="V5" s="313"/>
    </row>
    <row r="6" spans="2:22">
      <c r="B6" s="4152" t="s">
        <v>1700</v>
      </c>
      <c r="C6" s="4154"/>
      <c r="D6" s="4157">
        <f>2536+1359+1932+2622</f>
        <v>8449</v>
      </c>
      <c r="E6" s="4157">
        <f>2285+2156+1967+2373</f>
        <v>8781</v>
      </c>
      <c r="F6" s="4156"/>
      <c r="G6" s="4156"/>
      <c r="I6" s="314"/>
      <c r="J6" s="4168"/>
      <c r="N6" s="4241" t="s">
        <v>1701</v>
      </c>
      <c r="O6" s="4153"/>
      <c r="P6" s="4160">
        <f>10296+7668+4368+8820</f>
        <v>31152</v>
      </c>
      <c r="Q6" s="4354"/>
      <c r="R6" s="4164"/>
      <c r="S6" s="4272"/>
      <c r="T6" s="4272"/>
      <c r="U6" s="314"/>
      <c r="V6" s="4168"/>
    </row>
    <row r="7" spans="2:22">
      <c r="B7" s="44"/>
      <c r="E7" s="1">
        <f>SUM(D6:E6)</f>
        <v>17230</v>
      </c>
      <c r="F7" s="4167"/>
      <c r="G7" s="4427">
        <f>SUM(F6:G6)</f>
        <v>0</v>
      </c>
      <c r="J7" s="4168"/>
      <c r="N7" s="4241" t="s">
        <v>1702</v>
      </c>
      <c r="O7" s="4153"/>
      <c r="P7" s="4160">
        <f>5000+3490+1810+4010</f>
        <v>14310</v>
      </c>
      <c r="Q7" s="4354"/>
      <c r="R7" s="4164"/>
      <c r="S7" s="4272"/>
      <c r="T7" s="4272"/>
      <c r="U7" s="314"/>
      <c r="V7" s="4168"/>
    </row>
    <row r="8" spans="2:22">
      <c r="B8" s="44"/>
      <c r="C8" s="4157"/>
      <c r="D8" s="4157"/>
      <c r="E8" s="4157"/>
      <c r="F8" s="4156"/>
      <c r="G8" s="4167"/>
      <c r="J8" s="4168"/>
      <c r="N8" s="4169" t="s">
        <v>32</v>
      </c>
      <c r="O8" s="4254"/>
      <c r="P8" s="4170">
        <f>SUM(P6:P7)</f>
        <v>45462</v>
      </c>
      <c r="Q8" s="4172">
        <f>SUM(Q6:Q7)</f>
        <v>0</v>
      </c>
      <c r="R8" s="4173"/>
      <c r="S8" s="4173"/>
      <c r="T8" s="4173"/>
      <c r="U8" s="4170"/>
      <c r="V8" s="4168"/>
    </row>
    <row r="9" spans="2:22">
      <c r="B9" s="44"/>
      <c r="C9" s="4157"/>
      <c r="D9" s="4428"/>
      <c r="E9" s="4428"/>
      <c r="F9" s="4381"/>
      <c r="G9" s="4255"/>
      <c r="I9" s="4178"/>
      <c r="J9" s="300"/>
      <c r="K9" s="4178"/>
      <c r="L9" s="4178"/>
      <c r="N9" s="4169"/>
      <c r="O9" s="4254"/>
      <c r="P9" s="4256"/>
      <c r="Q9" s="4257"/>
      <c r="R9" s="4439"/>
      <c r="S9" s="4439"/>
      <c r="T9" s="4439"/>
      <c r="U9" s="4256"/>
      <c r="V9" s="4168"/>
    </row>
    <row r="10" spans="2:22" ht="46.8" customHeight="1">
      <c r="B10" s="4176"/>
      <c r="C10" s="4157"/>
      <c r="D10" s="5601" t="s">
        <v>576</v>
      </c>
      <c r="E10" s="5601"/>
      <c r="F10" s="4167"/>
      <c r="G10" s="4167"/>
      <c r="J10" s="4168"/>
      <c r="N10" s="44"/>
      <c r="P10" s="4313" t="s">
        <v>1785</v>
      </c>
      <c r="Q10" s="4431"/>
      <c r="R10" s="4440"/>
      <c r="S10" s="4440"/>
      <c r="T10" s="4440"/>
      <c r="U10" s="4430"/>
      <c r="V10" s="4168"/>
    </row>
    <row r="11" spans="2:22">
      <c r="B11" s="44"/>
      <c r="F11" s="4167"/>
      <c r="G11" s="4167"/>
      <c r="J11" s="4168"/>
      <c r="N11" s="44"/>
      <c r="P11" s="314"/>
      <c r="Q11" s="4271"/>
      <c r="R11" s="314"/>
      <c r="S11" s="314"/>
      <c r="T11" s="314"/>
      <c r="U11" s="314"/>
      <c r="V11" s="4168"/>
    </row>
    <row r="12" spans="2:22">
      <c r="B12" s="4265" t="s">
        <v>1854</v>
      </c>
      <c r="C12" s="4209">
        <v>3</v>
      </c>
      <c r="D12" s="4164">
        <f>D6/C12</f>
        <v>2816.3333333333335</v>
      </c>
      <c r="E12" s="4164">
        <f>E6/$C$12</f>
        <v>2927</v>
      </c>
      <c r="F12" s="4163">
        <f>F6/$C$12</f>
        <v>0</v>
      </c>
      <c r="G12" s="4271">
        <f>G6/$C$12</f>
        <v>0</v>
      </c>
      <c r="I12" s="314"/>
      <c r="J12" s="4273"/>
      <c r="N12" s="4265" t="s">
        <v>1854</v>
      </c>
      <c r="O12" s="4209">
        <v>3</v>
      </c>
      <c r="P12" s="4278">
        <f>P8/O12</f>
        <v>15154</v>
      </c>
      <c r="Q12" s="4163">
        <f>Q8/P12</f>
        <v>0</v>
      </c>
      <c r="R12" s="4278"/>
      <c r="S12" s="4278"/>
      <c r="T12" s="4278"/>
      <c r="U12" s="4278"/>
      <c r="V12" s="4168"/>
    </row>
    <row r="13" spans="2:22">
      <c r="B13" s="4265" t="s">
        <v>1854</v>
      </c>
      <c r="C13" s="4209">
        <v>4</v>
      </c>
      <c r="D13" s="4164">
        <f>D6/$C$13</f>
        <v>2112.25</v>
      </c>
      <c r="E13" s="4164">
        <f>E6/$C$13</f>
        <v>2195.25</v>
      </c>
      <c r="F13" s="4163">
        <f>F6/$C$13</f>
        <v>0</v>
      </c>
      <c r="G13" s="4271">
        <f>G6/$C$13</f>
        <v>0</v>
      </c>
      <c r="J13" s="4168"/>
      <c r="N13" s="4265" t="s">
        <v>1854</v>
      </c>
      <c r="O13" s="4209">
        <v>4</v>
      </c>
      <c r="P13" s="4278">
        <f>P8/O13</f>
        <v>11365.5</v>
      </c>
      <c r="Q13" s="4163">
        <f>Q8/P13</f>
        <v>0</v>
      </c>
      <c r="R13" s="4290"/>
      <c r="S13" s="4290"/>
      <c r="T13" s="4290"/>
      <c r="U13" s="4290"/>
      <c r="V13" s="4168"/>
    </row>
    <row r="14" spans="2:22">
      <c r="B14" s="44"/>
      <c r="D14" s="4422"/>
      <c r="J14" s="4168"/>
      <c r="K14" s="314"/>
      <c r="L14" s="314"/>
      <c r="N14" s="44"/>
      <c r="P14" s="4433"/>
      <c r="V14" s="4168"/>
    </row>
    <row r="15" spans="2:22" ht="15" thickBot="1">
      <c r="B15" s="4225"/>
      <c r="C15" s="4226"/>
      <c r="D15" s="4226"/>
      <c r="E15" s="4226"/>
      <c r="F15" s="4226"/>
      <c r="G15" s="4226"/>
      <c r="H15" s="4226"/>
      <c r="I15" s="4226"/>
      <c r="J15" s="4227"/>
      <c r="N15" s="4225"/>
      <c r="O15" s="4226"/>
      <c r="P15" s="4226"/>
      <c r="Q15" s="4226"/>
      <c r="R15" s="4226"/>
      <c r="S15" s="4226"/>
      <c r="T15" s="4226"/>
      <c r="U15" s="4226"/>
      <c r="V15" s="4227"/>
    </row>
  </sheetData>
  <mergeCells count="5">
    <mergeCell ref="D3:E3"/>
    <mergeCell ref="F3:G3"/>
    <mergeCell ref="D5:E5"/>
    <mergeCell ref="F5:G5"/>
    <mergeCell ref="D10:E1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158"/>
    <col min="2" max="2" width="6.44140625" style="2158" bestFit="1" customWidth="1"/>
    <col min="3" max="3" width="9.21875" style="2158" bestFit="1" customWidth="1"/>
    <col min="4" max="7" width="14.6640625" style="2158" customWidth="1"/>
    <col min="8" max="16384" width="11.5546875" style="2158"/>
  </cols>
  <sheetData>
    <row r="1" spans="1:7" ht="21">
      <c r="A1" s="5660" t="s">
        <v>1468</v>
      </c>
      <c r="B1" s="5660"/>
      <c r="C1" s="5660"/>
      <c r="D1" s="5660"/>
      <c r="E1" s="5660"/>
      <c r="F1" s="5660"/>
      <c r="G1" s="5660"/>
    </row>
    <row r="2" spans="1:7">
      <c r="A2" s="2382"/>
    </row>
    <row r="3" spans="1:7" ht="43.2">
      <c r="B3" s="2260">
        <v>44166</v>
      </c>
      <c r="C3" s="2261" t="s">
        <v>148</v>
      </c>
      <c r="D3" s="2261" t="s">
        <v>1409</v>
      </c>
      <c r="E3" s="2261" t="s">
        <v>1410</v>
      </c>
      <c r="F3" s="2261" t="s">
        <v>1411</v>
      </c>
      <c r="G3" s="2261" t="s">
        <v>1412</v>
      </c>
    </row>
    <row r="4" spans="1:7">
      <c r="C4" s="2262" t="s">
        <v>1413</v>
      </c>
      <c r="D4" s="1849">
        <v>5.6627822248382857E-2</v>
      </c>
      <c r="E4" s="2263">
        <v>1.9664514596148519</v>
      </c>
      <c r="F4" s="2474">
        <v>1122.1818181818182</v>
      </c>
      <c r="G4" s="2264">
        <v>61.556100612895641</v>
      </c>
    </row>
    <row r="5" spans="1:7">
      <c r="C5" s="2262" t="s">
        <v>1414</v>
      </c>
      <c r="D5" s="1849">
        <v>6.6292175840633058E-2</v>
      </c>
      <c r="E5" s="2263">
        <v>1.118300316198936</v>
      </c>
      <c r="F5" s="2474">
        <v>2404.5454545454545</v>
      </c>
      <c r="G5" s="2264">
        <v>64.479819496284776</v>
      </c>
    </row>
    <row r="6" spans="1:7" ht="15" thickBot="1">
      <c r="C6" s="2265" t="s">
        <v>1415</v>
      </c>
      <c r="D6" s="2266">
        <v>0.16435429618687211</v>
      </c>
      <c r="E6" s="2267">
        <v>2.6617689535755589</v>
      </c>
      <c r="F6" s="2475">
        <v>2341.181818181818</v>
      </c>
      <c r="G6" s="2268">
        <v>92.414279097732944</v>
      </c>
    </row>
    <row r="7" spans="1:7" ht="15" thickTop="1">
      <c r="C7" s="2269" t="s">
        <v>32</v>
      </c>
      <c r="D7" s="2270">
        <v>9.8141725302122965E-2</v>
      </c>
      <c r="E7" s="2271">
        <v>1.7651140582247904</v>
      </c>
      <c r="F7" s="2476">
        <v>2927.8805704099823</v>
      </c>
      <c r="G7" s="2272">
        <v>71.861750720768512</v>
      </c>
    </row>
    <row r="8" spans="1:7">
      <c r="D8" s="5659" t="s">
        <v>1466</v>
      </c>
      <c r="E8" s="5659"/>
      <c r="F8" s="5659"/>
      <c r="G8" s="5659"/>
    </row>
    <row r="10" spans="1:7" ht="43.2">
      <c r="B10" s="2477">
        <v>44197</v>
      </c>
      <c r="C10" s="2478" t="s">
        <v>148</v>
      </c>
      <c r="D10" s="2478" t="s">
        <v>1409</v>
      </c>
      <c r="E10" s="2478" t="s">
        <v>1410</v>
      </c>
      <c r="F10" s="2478" t="s">
        <v>1411</v>
      </c>
      <c r="G10" s="2478" t="s">
        <v>1412</v>
      </c>
    </row>
    <row r="11" spans="1:7">
      <c r="C11" s="2262" t="s">
        <v>1413</v>
      </c>
      <c r="D11" s="1849">
        <v>4.2801962626579003E-2</v>
      </c>
      <c r="E11" s="2263">
        <v>1.2117117117117118</v>
      </c>
      <c r="F11" s="2474">
        <v>538</v>
      </c>
      <c r="G11" s="2264">
        <v>64.317560975609751</v>
      </c>
    </row>
    <row r="12" spans="1:7">
      <c r="C12" s="2262" t="s">
        <v>1414</v>
      </c>
      <c r="D12" s="1849">
        <v>9.6155333797478204E-2</v>
      </c>
      <c r="E12" s="2263">
        <v>1.112939416604338</v>
      </c>
      <c r="F12" s="2474">
        <v>1488</v>
      </c>
      <c r="G12" s="2264">
        <v>67.852775543041034</v>
      </c>
    </row>
    <row r="13" spans="1:7" ht="15" thickBot="1">
      <c r="C13" s="2265" t="s">
        <v>1415</v>
      </c>
      <c r="D13" s="2266">
        <v>0.21170077465602999</v>
      </c>
      <c r="E13" s="2267">
        <v>1.13734335839599</v>
      </c>
      <c r="F13" s="2475">
        <v>2269</v>
      </c>
      <c r="G13" s="2268">
        <v>104.18241398143091</v>
      </c>
    </row>
    <row r="14" spans="1:7" ht="15" thickTop="1">
      <c r="C14" s="2269" t="s">
        <v>32</v>
      </c>
      <c r="D14" s="2270">
        <v>0.11182795698924732</v>
      </c>
      <c r="E14" s="2271">
        <v>1.1374470338983051</v>
      </c>
      <c r="F14" s="2476">
        <v>4295</v>
      </c>
      <c r="G14" s="2272">
        <v>86.529621125143521</v>
      </c>
    </row>
    <row r="15" spans="1:7">
      <c r="D15" s="5659" t="s">
        <v>1467</v>
      </c>
      <c r="E15" s="5659"/>
      <c r="F15" s="5659"/>
      <c r="G15" s="5659"/>
    </row>
  </sheetData>
  <mergeCells count="3">
    <mergeCell ref="D8:G8"/>
    <mergeCell ref="D15:G15"/>
    <mergeCell ref="A1:G1"/>
  </mergeCells>
  <pageMargins left="0.7" right="0.7" top="0.75" bottom="0.75" header="0.3" footer="0.3"/>
  <pageSetup paperSize="9" orientation="portrait" verticalDpi="597"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N169"/>
  <sheetViews>
    <sheetView showGridLines="0" topLeftCell="K1" zoomScale="70" zoomScaleNormal="70" workbookViewId="0">
      <selection activeCell="S5" sqref="S5"/>
    </sheetView>
  </sheetViews>
  <sheetFormatPr baseColWidth="10" defaultColWidth="11.44140625" defaultRowHeight="14.4"/>
  <cols>
    <col min="1" max="1" width="21.33203125" style="155" customWidth="1"/>
    <col min="2" max="4" width="15.5546875" style="155" customWidth="1"/>
    <col min="5" max="13" width="11.5546875" style="155" customWidth="1"/>
    <col min="14" max="14" width="11.5546875" style="681" hidden="1" customWidth="1"/>
    <col min="15" max="20" width="11.5546875" style="681" customWidth="1"/>
    <col min="21" max="21" width="5.5546875" style="155" customWidth="1"/>
    <col min="22" max="22" width="31.88671875" style="681" bestFit="1" customWidth="1"/>
    <col min="23" max="23" width="11.44140625" style="681"/>
    <col min="24" max="24" width="14.88671875" style="681" customWidth="1"/>
    <col min="25" max="25" width="11.44140625" style="681" customWidth="1"/>
    <col min="26" max="33" width="11.44140625" style="681"/>
    <col min="34" max="34" width="19.33203125" style="681" customWidth="1"/>
    <col min="35" max="35" width="13" style="155" bestFit="1" customWidth="1"/>
    <col min="36" max="36" width="3.5546875" style="155" customWidth="1"/>
    <col min="37" max="37" width="26.5546875" style="155" customWidth="1"/>
    <col min="38" max="47" width="11.33203125" style="155" customWidth="1"/>
    <col min="48" max="49" width="16.44140625" style="155" customWidth="1"/>
    <col min="50" max="56" width="16.44140625" style="681" customWidth="1"/>
    <col min="57" max="60" width="11.44140625" style="155"/>
    <col min="61" max="61" width="4.5546875" style="155" bestFit="1" customWidth="1"/>
    <col min="62" max="62" width="8.88671875" style="155" bestFit="1" customWidth="1"/>
    <col min="63" max="63" width="16.88671875" style="155" bestFit="1" customWidth="1"/>
    <col min="64" max="78" width="11.44140625" style="155"/>
    <col min="79" max="79" width="26.77734375" style="155" bestFit="1" customWidth="1"/>
    <col min="80" max="16384" width="11.44140625" style="155"/>
  </cols>
  <sheetData>
    <row r="1" spans="1:92" ht="15" thickBot="1">
      <c r="A1" s="164" t="s">
        <v>592</v>
      </c>
      <c r="B1" s="164"/>
      <c r="C1" s="164"/>
      <c r="D1" s="164"/>
      <c r="E1" s="164"/>
      <c r="F1" s="164"/>
      <c r="G1" s="164"/>
      <c r="H1" s="164"/>
      <c r="I1" s="165"/>
      <c r="J1" s="165"/>
      <c r="K1" s="165"/>
      <c r="L1" s="165"/>
      <c r="M1" s="165"/>
      <c r="N1" s="165"/>
      <c r="O1" s="165"/>
      <c r="P1" s="165"/>
      <c r="Q1" s="165"/>
      <c r="R1" s="165"/>
      <c r="S1" s="165"/>
      <c r="T1"/>
      <c r="U1" s="681"/>
      <c r="V1" s="554"/>
      <c r="W1" s="4711" t="s">
        <v>1628</v>
      </c>
      <c r="X1" s="4712"/>
      <c r="Y1" s="4712" t="s">
        <v>33</v>
      </c>
      <c r="Z1" s="4712"/>
      <c r="AA1" s="4712"/>
      <c r="AB1" s="4712"/>
      <c r="AC1" s="4712"/>
      <c r="AD1" s="4712"/>
      <c r="AE1" s="4712"/>
      <c r="AF1" s="4712"/>
      <c r="AG1" s="4712"/>
      <c r="AH1" s="4713"/>
      <c r="AI1" s="681"/>
      <c r="AK1" s="164" t="s">
        <v>142</v>
      </c>
      <c r="AP1" s="155" t="s">
        <v>147</v>
      </c>
      <c r="CA1" s="346"/>
      <c r="CB1" s="1348" t="s">
        <v>1363</v>
      </c>
      <c r="CC1" s="1328"/>
      <c r="CD1" s="1328" t="s">
        <v>33</v>
      </c>
      <c r="CE1" s="1328"/>
      <c r="CF1" s="1328"/>
      <c r="CG1" s="1328"/>
      <c r="CH1" s="1328"/>
      <c r="CI1" s="1328"/>
      <c r="CJ1" s="1328"/>
      <c r="CK1" s="1328"/>
      <c r="CL1" s="1328"/>
      <c r="CM1" s="1329"/>
    </row>
    <row r="2" spans="1:92" s="1081" customFormat="1" ht="43.8" thickBot="1">
      <c r="A2" s="1083" t="s">
        <v>143</v>
      </c>
      <c r="B2" s="5672" t="s">
        <v>506</v>
      </c>
      <c r="C2" s="5673"/>
      <c r="D2" s="5673"/>
      <c r="E2" s="5673"/>
      <c r="F2" s="5673"/>
      <c r="G2" s="5673"/>
      <c r="H2" s="5673"/>
      <c r="I2" s="5673"/>
      <c r="J2" s="5673"/>
      <c r="K2" s="5673"/>
      <c r="L2" s="5673"/>
      <c r="M2" s="5674"/>
      <c r="N2" s="1151" t="s">
        <v>1011</v>
      </c>
      <c r="O2" s="1150" t="s">
        <v>1012</v>
      </c>
      <c r="P2" s="1150" t="s">
        <v>1012</v>
      </c>
      <c r="Q2" s="1150" t="s">
        <v>1012</v>
      </c>
      <c r="R2" s="1150" t="s">
        <v>1012</v>
      </c>
      <c r="S2" s="1150" t="s">
        <v>1012</v>
      </c>
      <c r="T2"/>
      <c r="U2" s="681"/>
      <c r="V2" s="4705"/>
      <c r="W2" s="4714" t="s">
        <v>36</v>
      </c>
      <c r="X2" s="4717" t="s">
        <v>187</v>
      </c>
      <c r="Y2" s="4717" t="s">
        <v>546</v>
      </c>
      <c r="Z2" s="4717" t="s">
        <v>188</v>
      </c>
      <c r="AA2" s="4717" t="s">
        <v>189</v>
      </c>
      <c r="AB2" s="4717" t="s">
        <v>180</v>
      </c>
      <c r="AC2" s="4717" t="s">
        <v>42</v>
      </c>
      <c r="AD2" s="4717" t="s">
        <v>43</v>
      </c>
      <c r="AE2" s="4717" t="s">
        <v>44</v>
      </c>
      <c r="AF2" s="4717" t="s">
        <v>45</v>
      </c>
      <c r="AG2" s="4717" t="s">
        <v>46</v>
      </c>
      <c r="AH2" s="4718" t="s">
        <v>47</v>
      </c>
      <c r="AI2" s="681"/>
      <c r="AK2" s="1083" t="s">
        <v>143</v>
      </c>
      <c r="AL2" s="1085" t="s">
        <v>149</v>
      </c>
      <c r="AM2" s="1082" t="s">
        <v>48</v>
      </c>
      <c r="AN2" s="1082" t="s">
        <v>48</v>
      </c>
      <c r="AO2" s="1082" t="s">
        <v>150</v>
      </c>
      <c r="AP2" s="1082" t="s">
        <v>150</v>
      </c>
      <c r="AQ2" s="1082" t="s">
        <v>48</v>
      </c>
      <c r="AR2" s="1082" t="s">
        <v>48</v>
      </c>
      <c r="AS2" s="1082" t="s">
        <v>48</v>
      </c>
      <c r="AT2" s="1082" t="s">
        <v>48</v>
      </c>
      <c r="AU2" s="1082" t="s">
        <v>48</v>
      </c>
      <c r="AV2" s="1082" t="s">
        <v>48</v>
      </c>
      <c r="AW2" s="1080" t="s">
        <v>901</v>
      </c>
      <c r="AX2" s="1159" t="s">
        <v>902</v>
      </c>
      <c r="AY2" s="1082" t="s">
        <v>48</v>
      </c>
      <c r="AZ2" s="1082" t="s">
        <v>48</v>
      </c>
      <c r="BA2" s="1082" t="s">
        <v>48</v>
      </c>
      <c r="BB2" s="3668" t="s">
        <v>1013</v>
      </c>
      <c r="BC2" s="3668" t="s">
        <v>1013</v>
      </c>
      <c r="BI2" s="1081" t="s">
        <v>533</v>
      </c>
      <c r="BK2" s="1081" t="s">
        <v>534</v>
      </c>
      <c r="BL2" s="1081" t="s">
        <v>542</v>
      </c>
      <c r="BM2" s="1081" t="s">
        <v>543</v>
      </c>
      <c r="CA2" s="559"/>
      <c r="CB2" s="1349" t="s">
        <v>36</v>
      </c>
      <c r="CC2" s="1330" t="s">
        <v>187</v>
      </c>
      <c r="CD2" s="1330" t="s">
        <v>546</v>
      </c>
      <c r="CE2" s="1330" t="s">
        <v>188</v>
      </c>
      <c r="CF2" s="1330" t="s">
        <v>189</v>
      </c>
      <c r="CG2" s="1330" t="s">
        <v>180</v>
      </c>
      <c r="CH2" s="1330" t="s">
        <v>42</v>
      </c>
      <c r="CI2" s="1330" t="s">
        <v>43</v>
      </c>
      <c r="CJ2" s="1330" t="s">
        <v>44</v>
      </c>
      <c r="CK2" s="1330" t="s">
        <v>45</v>
      </c>
      <c r="CL2" s="1330" t="s">
        <v>46</v>
      </c>
      <c r="CM2" s="1331" t="s">
        <v>47</v>
      </c>
    </row>
    <row r="3" spans="1:92" s="340" customFormat="1" ht="16.2" thickBot="1">
      <c r="A3" s="337" t="s">
        <v>148</v>
      </c>
      <c r="B3" s="569">
        <v>2006</v>
      </c>
      <c r="C3" s="569">
        <v>2007</v>
      </c>
      <c r="D3" s="569">
        <v>2008</v>
      </c>
      <c r="E3" s="569">
        <v>2009</v>
      </c>
      <c r="F3" s="569">
        <v>2010</v>
      </c>
      <c r="G3" s="569">
        <v>2011</v>
      </c>
      <c r="H3" s="569">
        <v>2012</v>
      </c>
      <c r="I3" s="569">
        <v>2013</v>
      </c>
      <c r="J3" s="569">
        <v>2014</v>
      </c>
      <c r="K3" s="569">
        <v>2015</v>
      </c>
      <c r="L3" s="569">
        <f>AV3</f>
        <v>2016</v>
      </c>
      <c r="M3" s="569" t="s">
        <v>578</v>
      </c>
      <c r="N3" s="1152" t="s">
        <v>813</v>
      </c>
      <c r="O3" s="600" t="s">
        <v>813</v>
      </c>
      <c r="P3" s="569">
        <v>2019</v>
      </c>
      <c r="Q3" s="569">
        <v>2020</v>
      </c>
      <c r="R3" s="569" t="s">
        <v>1419</v>
      </c>
      <c r="S3" s="1352" t="s">
        <v>1588</v>
      </c>
      <c r="T3"/>
      <c r="U3" s="681"/>
      <c r="V3" s="4705"/>
      <c r="W3" s="4724"/>
      <c r="X3" s="4724"/>
      <c r="Y3" s="4724"/>
      <c r="Z3" s="4724"/>
      <c r="AA3" s="4724"/>
      <c r="AB3" s="4724"/>
      <c r="AC3" s="4724"/>
      <c r="AD3" s="4724"/>
      <c r="AE3" s="4724"/>
      <c r="AF3" s="5677"/>
      <c r="AG3" s="5677"/>
      <c r="AH3" s="5678"/>
      <c r="AI3" s="681"/>
      <c r="AK3" s="337" t="s">
        <v>148</v>
      </c>
      <c r="AL3" s="541">
        <v>2006</v>
      </c>
      <c r="AM3" s="542">
        <v>2007</v>
      </c>
      <c r="AN3" s="542">
        <v>2008</v>
      </c>
      <c r="AO3" s="542">
        <v>2009</v>
      </c>
      <c r="AP3" s="542">
        <v>2010</v>
      </c>
      <c r="AQ3" s="542">
        <v>2011</v>
      </c>
      <c r="AR3" s="542">
        <v>2012</v>
      </c>
      <c r="AS3" s="542">
        <v>2013</v>
      </c>
      <c r="AT3" s="542">
        <v>2014</v>
      </c>
      <c r="AU3" s="542">
        <v>2015</v>
      </c>
      <c r="AV3" s="542">
        <v>2016</v>
      </c>
      <c r="AW3" s="542">
        <v>2017</v>
      </c>
      <c r="AX3" s="1156" t="s">
        <v>1062</v>
      </c>
      <c r="AY3" s="542">
        <v>2018</v>
      </c>
      <c r="AZ3" s="1228">
        <v>2019</v>
      </c>
      <c r="BA3" s="542">
        <v>2020</v>
      </c>
      <c r="BB3" s="3669" t="s">
        <v>1419</v>
      </c>
      <c r="BC3" s="3669" t="s">
        <v>1588</v>
      </c>
      <c r="BD3" s="684"/>
      <c r="BH3" s="155"/>
      <c r="BI3" s="155" t="s">
        <v>533</v>
      </c>
      <c r="BJ3" s="155" t="s">
        <v>535</v>
      </c>
      <c r="BK3" s="155" t="s">
        <v>536</v>
      </c>
      <c r="BL3" s="155"/>
      <c r="BM3" s="155"/>
      <c r="BN3" s="155"/>
      <c r="BO3" s="155"/>
      <c r="BZ3" s="2065">
        <v>2019</v>
      </c>
      <c r="CA3" s="2066" t="s">
        <v>1066</v>
      </c>
      <c r="CB3" s="2067">
        <v>51.67</v>
      </c>
      <c r="CC3" s="2067">
        <v>59.05</v>
      </c>
      <c r="CD3" s="2067">
        <v>60.04</v>
      </c>
      <c r="CE3" s="2067">
        <v>63.14</v>
      </c>
      <c r="CF3" s="2067">
        <v>57.94</v>
      </c>
      <c r="CG3" s="2067">
        <v>61.51</v>
      </c>
      <c r="CH3" s="2067">
        <v>60.91</v>
      </c>
      <c r="CI3" s="2067">
        <v>55.6</v>
      </c>
      <c r="CJ3" s="2067">
        <v>61.97</v>
      </c>
      <c r="CK3" s="2068">
        <f>CK18*1.03</f>
        <v>0</v>
      </c>
      <c r="CL3" s="2068">
        <f>CL18*1.03</f>
        <v>0</v>
      </c>
      <c r="CM3" s="2069">
        <f>CM18*1.03</f>
        <v>0</v>
      </c>
    </row>
    <row r="4" spans="1:92" s="340" customFormat="1" ht="54.6" customHeight="1" thickBot="1">
      <c r="A4" s="337"/>
      <c r="B4" s="569"/>
      <c r="C4" s="569"/>
      <c r="D4" s="569"/>
      <c r="E4" s="569"/>
      <c r="F4" s="569"/>
      <c r="G4" s="569"/>
      <c r="H4" s="569"/>
      <c r="I4" s="569"/>
      <c r="J4" s="569"/>
      <c r="K4" s="569"/>
      <c r="L4" s="569"/>
      <c r="M4" s="569" t="s">
        <v>727</v>
      </c>
      <c r="N4" s="1152" t="s">
        <v>866</v>
      </c>
      <c r="O4" s="851" t="s">
        <v>866</v>
      </c>
      <c r="P4" s="569" t="s">
        <v>1640</v>
      </c>
      <c r="Q4" s="569" t="s">
        <v>1640</v>
      </c>
      <c r="R4" s="569" t="s">
        <v>1869</v>
      </c>
      <c r="S4" s="851" t="s">
        <v>1919</v>
      </c>
      <c r="T4"/>
      <c r="U4" s="681"/>
      <c r="V4" s="4716" t="s">
        <v>1966</v>
      </c>
      <c r="W4" s="4903">
        <v>31.27</v>
      </c>
      <c r="X4" s="4903">
        <v>44.65</v>
      </c>
      <c r="Y4" s="4903">
        <v>48.68</v>
      </c>
      <c r="Z4" s="4903">
        <v>50.11</v>
      </c>
      <c r="AA4" s="4715"/>
      <c r="AB4" s="4715"/>
      <c r="AC4" s="4715"/>
      <c r="AD4" s="4715"/>
      <c r="AE4" s="4715"/>
      <c r="AF4" s="4715"/>
      <c r="AG4" s="4715"/>
      <c r="AH4" s="4719"/>
      <c r="AI4" s="681"/>
      <c r="AK4" s="543"/>
      <c r="AL4" s="544"/>
      <c r="AM4" s="544"/>
      <c r="AN4" s="544"/>
      <c r="AO4" s="544"/>
      <c r="AP4" s="544"/>
      <c r="AQ4" s="544"/>
      <c r="AR4" s="544"/>
      <c r="AS4" s="544"/>
      <c r="AT4" s="544"/>
      <c r="AU4" s="544"/>
      <c r="AV4" s="544"/>
      <c r="AW4" s="545"/>
      <c r="AX4" s="1157"/>
      <c r="AY4" s="545"/>
      <c r="AZ4" s="569" t="s">
        <v>1569</v>
      </c>
      <c r="BA4" s="569" t="s">
        <v>1569</v>
      </c>
      <c r="BB4" s="851" t="s">
        <v>1569</v>
      </c>
      <c r="BC4" s="851" t="s">
        <v>1965</v>
      </c>
      <c r="BD4" s="684"/>
      <c r="BH4" s="155"/>
      <c r="BI4" s="381">
        <f>SUM(BI5:BI20)</f>
        <v>105</v>
      </c>
      <c r="BJ4" s="381">
        <f>SUM(BJ5:BJ20)</f>
        <v>28175</v>
      </c>
      <c r="BK4" s="607">
        <f>SUM(BK5:BK20)</f>
        <v>713.9428678641026</v>
      </c>
      <c r="BL4" s="381">
        <f>SUM(BL5:BL20)</f>
        <v>1015</v>
      </c>
      <c r="BM4" s="381">
        <f>SUM(BM5:BM20)</f>
        <v>5220.6051926601949</v>
      </c>
      <c r="BN4" s="155"/>
      <c r="BO4" s="155"/>
      <c r="BZ4" s="2070">
        <v>2018</v>
      </c>
      <c r="CA4" s="2071" t="s">
        <v>908</v>
      </c>
      <c r="CB4" s="2072">
        <v>49.23</v>
      </c>
      <c r="CC4" s="2072">
        <v>59.49</v>
      </c>
      <c r="CD4" s="2072">
        <v>58.37</v>
      </c>
      <c r="CE4" s="2072">
        <v>64.19</v>
      </c>
      <c r="CF4" s="2072">
        <v>58.05</v>
      </c>
      <c r="CG4" s="2072">
        <v>61.5</v>
      </c>
      <c r="CH4" s="2072">
        <v>57.76</v>
      </c>
      <c r="CI4" s="2072">
        <v>53.26</v>
      </c>
      <c r="CJ4" s="2072">
        <v>65.02</v>
      </c>
      <c r="CK4" s="2072">
        <v>64.39</v>
      </c>
      <c r="CL4" s="2072">
        <v>66.569999999999993</v>
      </c>
      <c r="CM4" s="2073">
        <v>45.35</v>
      </c>
      <c r="CN4" s="155"/>
    </row>
    <row r="5" spans="1:92" ht="16.2" customHeight="1" thickBot="1">
      <c r="A5" s="170" t="s">
        <v>318</v>
      </c>
      <c r="B5" s="570">
        <v>48.375059198551497</v>
      </c>
      <c r="C5" s="570">
        <v>51.967628115580197</v>
      </c>
      <c r="D5" s="570">
        <v>53.89808563246357</v>
      </c>
      <c r="E5" s="570">
        <v>49.915766115218879</v>
      </c>
      <c r="F5" s="570">
        <v>52.30718839571739</v>
      </c>
      <c r="G5" s="570">
        <v>53.751290875611595</v>
      </c>
      <c r="H5" s="570">
        <v>57.762568107254687</v>
      </c>
      <c r="I5" s="570">
        <v>58.003843053502898</v>
      </c>
      <c r="J5" s="570">
        <f t="shared" ref="J5:O5" si="0">AT5</f>
        <v>56.91449749144774</v>
      </c>
      <c r="K5" s="570">
        <f t="shared" si="0"/>
        <v>52.646506184060037</v>
      </c>
      <c r="L5" s="570">
        <f t="shared" si="0"/>
        <v>46.512730614023319</v>
      </c>
      <c r="M5" s="570">
        <f t="shared" si="0"/>
        <v>46.020581605453351</v>
      </c>
      <c r="N5" s="1153">
        <f t="shared" si="0"/>
        <v>46.433055555555562</v>
      </c>
      <c r="O5" s="601">
        <f t="shared" si="0"/>
        <v>50.197122475217498</v>
      </c>
      <c r="P5" s="570">
        <v>35.67</v>
      </c>
      <c r="Q5" s="570">
        <v>9.39</v>
      </c>
      <c r="R5" s="570">
        <v>20.21</v>
      </c>
      <c r="S5" s="1353">
        <f>AVERAGE(W4:AH4)</f>
        <v>43.677499999999995</v>
      </c>
      <c r="T5"/>
      <c r="U5" s="681"/>
      <c r="V5" s="4709" t="s">
        <v>1938</v>
      </c>
      <c r="W5" s="4783">
        <v>32.54</v>
      </c>
      <c r="X5" s="4783">
        <v>40.78</v>
      </c>
      <c r="Y5" s="4783">
        <v>47.15</v>
      </c>
      <c r="Z5" s="4783">
        <v>48.65</v>
      </c>
      <c r="AA5" s="4783"/>
      <c r="AB5" s="4783"/>
      <c r="AC5" s="4783"/>
      <c r="AD5" s="4783"/>
      <c r="AE5" s="4783"/>
      <c r="AF5" s="4783"/>
      <c r="AG5" s="4783"/>
      <c r="AH5" s="4784"/>
      <c r="AI5" s="681"/>
      <c r="AK5" s="170" t="s">
        <v>151</v>
      </c>
      <c r="AL5" s="609">
        <v>48.375059198551497</v>
      </c>
      <c r="AM5" s="172">
        <v>51.967628115580197</v>
      </c>
      <c r="AN5" s="172">
        <v>53.89808563246357</v>
      </c>
      <c r="AO5" s="609">
        <v>49.915766115218879</v>
      </c>
      <c r="AP5" s="172">
        <v>52.30718839571739</v>
      </c>
      <c r="AQ5" s="172">
        <v>53.751290875611595</v>
      </c>
      <c r="AR5" s="172">
        <v>57.762568107254687</v>
      </c>
      <c r="AS5" s="172">
        <v>58.003843053502898</v>
      </c>
      <c r="AT5" s="172">
        <v>56.91449749144774</v>
      </c>
      <c r="AU5" s="717">
        <v>52.646506184060037</v>
      </c>
      <c r="AV5" s="718">
        <v>46.512730614023319</v>
      </c>
      <c r="AW5" s="719">
        <f>AVERAGE(W65:AH65)</f>
        <v>46.020581605453351</v>
      </c>
      <c r="AX5" s="1160">
        <f>AVERAGE(W50:AH50)</f>
        <v>46.433055555555562</v>
      </c>
      <c r="AY5" s="719">
        <f>AVERAGE(W49:AH49)</f>
        <v>50.197122475217498</v>
      </c>
      <c r="AZ5" s="3670">
        <f>P5</f>
        <v>35.67</v>
      </c>
      <c r="BA5" s="718">
        <f>Q5</f>
        <v>9.39</v>
      </c>
      <c r="BB5" s="3671">
        <f>R5</f>
        <v>20.21</v>
      </c>
      <c r="BC5" s="3671">
        <f>S5</f>
        <v>43.677499999999995</v>
      </c>
      <c r="BD5" s="716"/>
      <c r="BE5" s="716"/>
      <c r="BF5" s="463"/>
      <c r="BI5" s="155">
        <v>1</v>
      </c>
      <c r="BJ5" s="155">
        <v>2006</v>
      </c>
      <c r="BK5" s="1611">
        <f>AL5</f>
        <v>48.375059198551497</v>
      </c>
      <c r="BL5" s="155">
        <f>BI5^2</f>
        <v>1</v>
      </c>
      <c r="BM5" s="155">
        <f>BI5*BK5</f>
        <v>48.375059198551497</v>
      </c>
      <c r="CB5" s="1350"/>
      <c r="CC5" s="1102"/>
      <c r="CD5" s="1102"/>
      <c r="CE5" s="1102"/>
      <c r="CF5" s="1102"/>
      <c r="CG5" s="1102"/>
      <c r="CH5" s="1102"/>
      <c r="CI5" s="1102"/>
      <c r="CJ5" s="1102"/>
      <c r="CK5" s="1102" t="s">
        <v>576</v>
      </c>
      <c r="CL5" s="1102" t="s">
        <v>576</v>
      </c>
      <c r="CM5" s="1351" t="s">
        <v>576</v>
      </c>
    </row>
    <row r="6" spans="1:92" ht="16.2" thickBot="1">
      <c r="A6" s="173" t="str">
        <f>AK6</f>
        <v>5 estrellas - Lujo</v>
      </c>
      <c r="B6" s="571">
        <v>67.85119661120612</v>
      </c>
      <c r="C6" s="571">
        <v>71.102153932831911</v>
      </c>
      <c r="D6" s="571">
        <v>71.50575775394951</v>
      </c>
      <c r="E6" s="571">
        <v>62.861776384029497</v>
      </c>
      <c r="F6" s="571">
        <v>66.861811372641952</v>
      </c>
      <c r="G6" s="571">
        <v>69.368258591218705</v>
      </c>
      <c r="H6" s="571">
        <v>74.754902797291749</v>
      </c>
      <c r="I6" s="571">
        <v>72.996543651867498</v>
      </c>
      <c r="J6" s="571">
        <f t="shared" ref="J6:K8" si="1">AT6</f>
        <v>71.928309465167587</v>
      </c>
      <c r="K6" s="571">
        <f t="shared" si="1"/>
        <v>64.822142260364402</v>
      </c>
      <c r="L6" s="571">
        <f t="shared" ref="L6:N8" si="2">AV6</f>
        <v>56.255716656902933</v>
      </c>
      <c r="M6" s="571">
        <f t="shared" si="2"/>
        <v>55.680000000000007</v>
      </c>
      <c r="N6" s="1154">
        <f t="shared" si="2"/>
        <v>58.598333333333329</v>
      </c>
      <c r="O6" s="602">
        <f>AY6</f>
        <v>58.598333333333329</v>
      </c>
      <c r="P6" s="571">
        <v>49.59</v>
      </c>
      <c r="Q6" s="571">
        <v>17.36</v>
      </c>
      <c r="R6" s="571">
        <v>31.02</v>
      </c>
      <c r="S6" s="1354">
        <f>AVERAGE(W5:AH5)</f>
        <v>42.28</v>
      </c>
      <c r="T6"/>
      <c r="U6" s="681"/>
      <c r="V6" s="4710" t="s">
        <v>1939</v>
      </c>
      <c r="W6" s="4785">
        <v>29.22</v>
      </c>
      <c r="X6" s="4785">
        <v>50.63</v>
      </c>
      <c r="Y6" s="4785">
        <v>51.04</v>
      </c>
      <c r="Z6" s="4785">
        <v>52.37</v>
      </c>
      <c r="AA6" s="4785"/>
      <c r="AB6" s="4785"/>
      <c r="AC6" s="4785"/>
      <c r="AD6" s="4785"/>
      <c r="AE6" s="4785"/>
      <c r="AF6" s="4785"/>
      <c r="AG6" s="4785"/>
      <c r="AH6" s="4786"/>
      <c r="AI6" s="681"/>
      <c r="AK6" s="173" t="s">
        <v>904</v>
      </c>
      <c r="AL6" s="174">
        <v>67.85119661120612</v>
      </c>
      <c r="AM6" s="174">
        <v>71.102153932831911</v>
      </c>
      <c r="AN6" s="174">
        <v>71.50575775394951</v>
      </c>
      <c r="AO6" s="174">
        <v>62.861776384029497</v>
      </c>
      <c r="AP6" s="174">
        <v>66.861811372641952</v>
      </c>
      <c r="AQ6" s="174">
        <v>69.368258591218705</v>
      </c>
      <c r="AR6" s="174">
        <v>74.754902797291749</v>
      </c>
      <c r="AS6" s="174">
        <v>72.996543651867498</v>
      </c>
      <c r="AT6" s="174">
        <v>71.928309465167587</v>
      </c>
      <c r="AU6" s="174">
        <v>64.822142260364402</v>
      </c>
      <c r="AV6" s="635">
        <v>56.255716656902933</v>
      </c>
      <c r="AW6" s="1077">
        <f>AVERAGE(W68:AH68)</f>
        <v>55.680000000000007</v>
      </c>
      <c r="AX6" s="1161">
        <f>AVERAGE(W53:AH53)</f>
        <v>58.598333333333329</v>
      </c>
      <c r="AY6" s="1077">
        <f>AVERAGE(W53:AH53)</f>
        <v>58.598333333333329</v>
      </c>
      <c r="AZ6" s="3672">
        <f t="shared" ref="AZ6:BA8" si="3">P6</f>
        <v>49.59</v>
      </c>
      <c r="BA6" s="635">
        <f t="shared" si="3"/>
        <v>17.36</v>
      </c>
      <c r="BB6" s="3673">
        <f t="shared" ref="BB6:BC8" si="4">R6</f>
        <v>31.02</v>
      </c>
      <c r="BC6" s="3673">
        <f t="shared" si="4"/>
        <v>42.28</v>
      </c>
      <c r="BI6" s="155">
        <v>2</v>
      </c>
      <c r="BJ6" s="155">
        <v>2007</v>
      </c>
      <c r="BK6" s="1611">
        <f>AM5</f>
        <v>51.967628115580197</v>
      </c>
      <c r="BL6" s="155">
        <f t="shared" ref="BL6:BL18" si="5">BI6^2</f>
        <v>4</v>
      </c>
      <c r="BM6" s="155">
        <f t="shared" ref="BM6:BM18" si="6">BI6*BK6</f>
        <v>103.93525623116039</v>
      </c>
    </row>
    <row r="7" spans="1:92" ht="16.2" thickBot="1">
      <c r="A7" s="173" t="str">
        <f>AK7</f>
        <v>4 Estrellas - Primera</v>
      </c>
      <c r="B7" s="571">
        <v>45.725166885376801</v>
      </c>
      <c r="C7" s="571">
        <v>49.828368996479348</v>
      </c>
      <c r="D7" s="571">
        <v>52.801422006218871</v>
      </c>
      <c r="E7" s="571">
        <v>49.163328262440885</v>
      </c>
      <c r="F7" s="571">
        <v>53.046269359602803</v>
      </c>
      <c r="G7" s="571">
        <v>55.398690212968717</v>
      </c>
      <c r="H7" s="571">
        <v>58.917943104015279</v>
      </c>
      <c r="I7" s="571">
        <v>61.425279513620964</v>
      </c>
      <c r="J7" s="571">
        <f t="shared" si="1"/>
        <v>61.063023474311244</v>
      </c>
      <c r="K7" s="571">
        <f t="shared" si="1"/>
        <v>55.378711204374724</v>
      </c>
      <c r="L7" s="571">
        <f t="shared" si="2"/>
        <v>48.255950576103231</v>
      </c>
      <c r="M7" s="571">
        <f t="shared" si="2"/>
        <v>50.666666666666664</v>
      </c>
      <c r="N7" s="1154">
        <f t="shared" si="2"/>
        <v>55</v>
      </c>
      <c r="O7" s="602">
        <f>AY7</f>
        <v>55</v>
      </c>
      <c r="P7" s="571">
        <v>38.630000000000003</v>
      </c>
      <c r="Q7" s="571">
        <v>6.73</v>
      </c>
      <c r="R7" s="571">
        <v>22.01</v>
      </c>
      <c r="S7" s="1354">
        <f>AVERAGE(W6:AH6)</f>
        <v>45.814999999999998</v>
      </c>
      <c r="T7"/>
      <c r="U7" s="681"/>
      <c r="V7" s="4901" t="s">
        <v>1937</v>
      </c>
      <c r="W7" s="4902">
        <f>AVERAGE(W17,W26,W43,W58,W72)</f>
        <v>25.40340243654822</v>
      </c>
      <c r="X7" s="4902">
        <f t="shared" ref="X7:AH7" si="7">AVERAGE(X17,X26,X43,X58,X72)</f>
        <v>24.897408121827418</v>
      </c>
      <c r="Y7" s="4902">
        <f t="shared" si="7"/>
        <v>24.990330365482237</v>
      </c>
      <c r="Z7" s="4902">
        <f t="shared" si="7"/>
        <v>26.304040276446706</v>
      </c>
      <c r="AA7" s="4902">
        <f t="shared" si="7"/>
        <v>30.239161484740105</v>
      </c>
      <c r="AB7" s="4902">
        <f t="shared" si="7"/>
        <v>31.19633632928231</v>
      </c>
      <c r="AC7" s="4902">
        <f t="shared" si="7"/>
        <v>23.990400790575418</v>
      </c>
      <c r="AD7" s="4902">
        <f t="shared" si="7"/>
        <v>31.1795132117356</v>
      </c>
      <c r="AE7" s="4902">
        <f t="shared" si="7"/>
        <v>32.062898608087664</v>
      </c>
      <c r="AF7" s="4902">
        <f t="shared" si="7"/>
        <v>35.719105566330299</v>
      </c>
      <c r="AG7" s="4902">
        <f t="shared" si="7"/>
        <v>36.396878733320207</v>
      </c>
      <c r="AH7" s="4902">
        <f t="shared" si="7"/>
        <v>34.565686169730071</v>
      </c>
      <c r="AI7" s="681"/>
      <c r="AK7" s="173" t="s">
        <v>905</v>
      </c>
      <c r="AL7" s="174">
        <v>45.725166885376801</v>
      </c>
      <c r="AM7" s="174">
        <v>49.828368996479348</v>
      </c>
      <c r="AN7" s="174">
        <v>52.801422006218871</v>
      </c>
      <c r="AO7" s="174">
        <v>49.163328262440885</v>
      </c>
      <c r="AP7" s="174">
        <v>53.046269359602803</v>
      </c>
      <c r="AQ7" s="174">
        <v>55.398690212968717</v>
      </c>
      <c r="AR7" s="174">
        <v>58.917943104015279</v>
      </c>
      <c r="AS7" s="174">
        <v>61.425279513620964</v>
      </c>
      <c r="AT7" s="174">
        <v>61.063023474311244</v>
      </c>
      <c r="AU7" s="174">
        <v>55.378711204374724</v>
      </c>
      <c r="AV7" s="635">
        <v>48.255950576103231</v>
      </c>
      <c r="AW7" s="597">
        <f>AVERAGE(W69:AH69)</f>
        <v>50.666666666666664</v>
      </c>
      <c r="AX7" s="1161">
        <f>AVERAGE(W55:AH55)</f>
        <v>55</v>
      </c>
      <c r="AY7" s="597">
        <f>AVERAGE(W55:AH55)</f>
        <v>55</v>
      </c>
      <c r="AZ7" s="3672">
        <f t="shared" si="3"/>
        <v>38.630000000000003</v>
      </c>
      <c r="BA7" s="635">
        <f t="shared" si="3"/>
        <v>6.73</v>
      </c>
      <c r="BB7" s="3673">
        <f t="shared" si="4"/>
        <v>22.01</v>
      </c>
      <c r="BC7" s="3673">
        <f t="shared" si="4"/>
        <v>45.814999999999998</v>
      </c>
      <c r="BI7" s="155">
        <v>3</v>
      </c>
      <c r="BJ7" s="155">
        <v>2008</v>
      </c>
      <c r="BK7" s="1611">
        <f>AN5</f>
        <v>53.89808563246357</v>
      </c>
      <c r="BL7" s="155">
        <f t="shared" si="5"/>
        <v>9</v>
      </c>
      <c r="BM7" s="155">
        <f t="shared" si="6"/>
        <v>161.69425689739072</v>
      </c>
      <c r="CA7" s="2080" t="s">
        <v>1362</v>
      </c>
      <c r="CB7" s="2081">
        <v>2018</v>
      </c>
      <c r="CC7" s="2081">
        <v>2019</v>
      </c>
      <c r="CD7" s="2082" t="s">
        <v>478</v>
      </c>
    </row>
    <row r="8" spans="1:92" ht="16.2" thickBot="1">
      <c r="A8" s="175" t="str">
        <f>AK8</f>
        <v>3 Estrellas - Segunda</v>
      </c>
      <c r="B8" s="572">
        <v>33.695896638353872</v>
      </c>
      <c r="C8" s="572">
        <v>37.241662894922221</v>
      </c>
      <c r="D8" s="572">
        <v>39.832995607695793</v>
      </c>
      <c r="E8" s="572">
        <v>39.618641966407949</v>
      </c>
      <c r="F8" s="572">
        <v>40.020842075944657</v>
      </c>
      <c r="G8" s="572">
        <v>39.850230173474912</v>
      </c>
      <c r="H8" s="572">
        <v>42.948439320799231</v>
      </c>
      <c r="I8" s="572">
        <v>42.685597701509735</v>
      </c>
      <c r="J8" s="572">
        <f t="shared" si="1"/>
        <v>40.793439968219424</v>
      </c>
      <c r="K8" s="572">
        <f t="shared" si="1"/>
        <v>40.019455322143479</v>
      </c>
      <c r="L8" s="572">
        <f t="shared" si="2"/>
        <v>36.569361252115065</v>
      </c>
      <c r="M8" s="572">
        <f t="shared" si="2"/>
        <v>27.666666666666668</v>
      </c>
      <c r="N8" s="1155">
        <f t="shared" si="2"/>
        <v>25.833333333333332</v>
      </c>
      <c r="O8" s="603">
        <f>AY8</f>
        <v>43.385741017973068</v>
      </c>
      <c r="P8" s="572">
        <v>22.35</v>
      </c>
      <c r="Q8" s="572">
        <v>6.46</v>
      </c>
      <c r="R8" s="572">
        <v>13.15</v>
      </c>
      <c r="S8" s="4782">
        <f>AVERAGE(M8:R8)</f>
        <v>23.14095683632884</v>
      </c>
      <c r="T8"/>
      <c r="U8" s="681"/>
      <c r="V8" s="864"/>
      <c r="W8" s="865">
        <f>W4/W14-1</f>
        <v>1.8427272727272728</v>
      </c>
      <c r="X8" s="865">
        <f t="shared" ref="X8:AH8" si="8">X4/X14-1</f>
        <v>1.7906249999999999</v>
      </c>
      <c r="Y8" s="865">
        <f t="shared" si="8"/>
        <v>2.2453333333333334</v>
      </c>
      <c r="Z8" s="865">
        <f t="shared" si="8"/>
        <v>2.8546153846153848</v>
      </c>
      <c r="AA8" s="865">
        <f t="shared" si="8"/>
        <v>-1</v>
      </c>
      <c r="AB8" s="865">
        <f t="shared" si="8"/>
        <v>-1</v>
      </c>
      <c r="AC8" s="865">
        <f t="shared" si="8"/>
        <v>-1</v>
      </c>
      <c r="AD8" s="865">
        <f t="shared" si="8"/>
        <v>-1</v>
      </c>
      <c r="AE8" s="865">
        <f t="shared" si="8"/>
        <v>-1</v>
      </c>
      <c r="AF8" s="865">
        <f t="shared" si="8"/>
        <v>-1</v>
      </c>
      <c r="AG8" s="865">
        <f t="shared" si="8"/>
        <v>-1</v>
      </c>
      <c r="AH8" s="865">
        <f t="shared" si="8"/>
        <v>-1</v>
      </c>
      <c r="AI8" s="681"/>
      <c r="AK8" s="175" t="s">
        <v>906</v>
      </c>
      <c r="AL8" s="176">
        <v>33.695896638353872</v>
      </c>
      <c r="AM8" s="176">
        <v>37.241662894922221</v>
      </c>
      <c r="AN8" s="176">
        <v>39.832995607695793</v>
      </c>
      <c r="AO8" s="176">
        <v>39.618641966407949</v>
      </c>
      <c r="AP8" s="176">
        <v>40.020842075944657</v>
      </c>
      <c r="AQ8" s="176">
        <v>39.850230173474912</v>
      </c>
      <c r="AR8" s="176">
        <v>42.948439320799231</v>
      </c>
      <c r="AS8" s="176">
        <v>42.685597701509735</v>
      </c>
      <c r="AT8" s="176">
        <v>40.793439968219424</v>
      </c>
      <c r="AU8" s="176">
        <v>40.019455322143479</v>
      </c>
      <c r="AV8" s="636">
        <v>36.569361252115065</v>
      </c>
      <c r="AW8" s="598">
        <f>AVERAGE(W71:AH71)</f>
        <v>27.666666666666668</v>
      </c>
      <c r="AX8" s="1162">
        <f>AVERAGE(W57:AH57)</f>
        <v>25.833333333333332</v>
      </c>
      <c r="AY8" s="598">
        <f>AVERAGE(W58:AH58)</f>
        <v>43.385741017973068</v>
      </c>
      <c r="AZ8" s="3674">
        <f t="shared" si="3"/>
        <v>22.35</v>
      </c>
      <c r="BA8" s="636">
        <f t="shared" si="3"/>
        <v>6.46</v>
      </c>
      <c r="BB8" s="3675">
        <f t="shared" si="4"/>
        <v>13.15</v>
      </c>
      <c r="BC8" s="3675">
        <f t="shared" si="4"/>
        <v>23.14095683632884</v>
      </c>
      <c r="BI8" s="155">
        <v>4</v>
      </c>
      <c r="BJ8" s="155">
        <v>2009</v>
      </c>
      <c r="BK8" s="1611">
        <f>AO5</f>
        <v>49.915766115218879</v>
      </c>
      <c r="BL8" s="155">
        <f t="shared" si="5"/>
        <v>16</v>
      </c>
      <c r="BM8" s="155">
        <f t="shared" si="6"/>
        <v>199.66306446087552</v>
      </c>
      <c r="BZ8" s="345"/>
      <c r="CA8" s="2076" t="s">
        <v>36</v>
      </c>
      <c r="CB8" s="1090">
        <v>49.23</v>
      </c>
      <c r="CC8" s="1090">
        <v>51.67</v>
      </c>
      <c r="CD8" s="2077">
        <f>CC8/CB8-1</f>
        <v>4.9563274426162929E-2</v>
      </c>
      <c r="CN8" s="345"/>
    </row>
    <row r="9" spans="1:92" s="345" customFormat="1" ht="28.2" thickBot="1">
      <c r="A9" s="672" t="s">
        <v>755</v>
      </c>
      <c r="B9" s="341"/>
      <c r="C9" s="562">
        <f t="shared" ref="C9:J9" si="9">C5-B5</f>
        <v>3.5925689170287001</v>
      </c>
      <c r="D9" s="562">
        <f t="shared" si="9"/>
        <v>1.9304575168833722</v>
      </c>
      <c r="E9" s="562">
        <f t="shared" si="9"/>
        <v>-3.9823195172446901</v>
      </c>
      <c r="F9" s="562">
        <f t="shared" si="9"/>
        <v>2.3914222804985101</v>
      </c>
      <c r="G9" s="562">
        <f t="shared" si="9"/>
        <v>1.4441024798942053</v>
      </c>
      <c r="H9" s="562">
        <f t="shared" si="9"/>
        <v>4.011277231643092</v>
      </c>
      <c r="I9" s="562">
        <f t="shared" si="9"/>
        <v>0.24127494624821111</v>
      </c>
      <c r="J9" s="562">
        <f t="shared" si="9"/>
        <v>-1.0893455620551578</v>
      </c>
      <c r="K9" s="562">
        <f>K5-J5</f>
        <v>-4.2679913073877032</v>
      </c>
      <c r="L9" s="562">
        <f>L5-K5</f>
        <v>-6.1337755700367182</v>
      </c>
      <c r="M9" s="562">
        <f>M5-L5</f>
        <v>-0.49214900856996735</v>
      </c>
      <c r="N9" s="562"/>
      <c r="O9" s="562">
        <f>O5-M5</f>
        <v>4.1765408697641462</v>
      </c>
      <c r="P9" s="562">
        <f>P5-O5</f>
        <v>-14.527122475217496</v>
      </c>
      <c r="Q9" s="562">
        <f>Q5-P5</f>
        <v>-26.28</v>
      </c>
      <c r="R9" s="562">
        <f>R5-Q5</f>
        <v>10.82</v>
      </c>
      <c r="S9" s="3667">
        <f>S5-R5</f>
        <v>23.467499999999994</v>
      </c>
      <c r="T9"/>
      <c r="U9" s="681"/>
      <c r="V9" s="864"/>
      <c r="W9" s="5679" t="s">
        <v>1918</v>
      </c>
      <c r="X9" s="5680"/>
      <c r="Y9" s="5681" t="s">
        <v>1940</v>
      </c>
      <c r="Z9" s="5682"/>
      <c r="AA9" s="4477"/>
      <c r="AB9" s="4477"/>
      <c r="AC9" s="4477"/>
      <c r="AD9" s="4477"/>
      <c r="AE9" s="4477"/>
      <c r="AF9" s="4478"/>
      <c r="AG9" s="4477"/>
      <c r="AH9" s="4477"/>
      <c r="AI9" s="681"/>
      <c r="AK9" s="169"/>
      <c r="AL9" s="169"/>
      <c r="AM9" s="169"/>
      <c r="AN9" s="169"/>
      <c r="AO9" s="169"/>
      <c r="AP9" s="169"/>
      <c r="AQ9" s="169"/>
      <c r="AR9" s="169"/>
      <c r="AS9" s="169"/>
      <c r="AT9" s="169"/>
      <c r="AU9" s="561" t="s">
        <v>509</v>
      </c>
      <c r="AV9" s="561" t="s">
        <v>579</v>
      </c>
      <c r="AW9" s="599" t="s">
        <v>727</v>
      </c>
      <c r="AX9" s="1163"/>
      <c r="AY9" s="1163"/>
      <c r="AZ9" s="1163"/>
      <c r="BA9" s="1163"/>
      <c r="BB9" s="850" t="s">
        <v>848</v>
      </c>
      <c r="BC9" s="850" t="s">
        <v>848</v>
      </c>
      <c r="BH9" s="155"/>
      <c r="BI9" s="155">
        <v>5</v>
      </c>
      <c r="BJ9" s="155">
        <v>2010</v>
      </c>
      <c r="BK9" s="1611">
        <f>AP5</f>
        <v>52.30718839571739</v>
      </c>
      <c r="BL9" s="155">
        <f t="shared" si="5"/>
        <v>25</v>
      </c>
      <c r="BM9" s="155">
        <f t="shared" si="6"/>
        <v>261.53594197858695</v>
      </c>
      <c r="BN9" s="155"/>
      <c r="BO9" s="155"/>
      <c r="CA9" s="2076" t="s">
        <v>187</v>
      </c>
      <c r="CB9" s="1090">
        <v>59.49</v>
      </c>
      <c r="CC9" s="1090">
        <v>59.05</v>
      </c>
      <c r="CD9" s="2077">
        <f t="shared" ref="CD9:CD16" si="10">CC9/CB9-1</f>
        <v>-7.3962010421920743E-3</v>
      </c>
      <c r="CE9" s="155"/>
      <c r="CF9" s="155"/>
      <c r="CG9" s="155"/>
      <c r="CH9" s="155"/>
      <c r="CI9" s="155"/>
      <c r="CJ9" s="155"/>
      <c r="CK9" s="155"/>
      <c r="CL9" s="155"/>
      <c r="CM9" s="155"/>
    </row>
    <row r="10" spans="1:92" s="345" customFormat="1" ht="16.2" thickBot="1">
      <c r="A10" s="672"/>
      <c r="B10" s="341"/>
      <c r="C10" s="562"/>
      <c r="D10" s="562"/>
      <c r="E10" s="562"/>
      <c r="F10" s="562"/>
      <c r="G10" s="562"/>
      <c r="H10" s="562"/>
      <c r="I10" s="562"/>
      <c r="J10" s="562"/>
      <c r="K10" s="562"/>
      <c r="L10" s="562"/>
      <c r="M10" s="562"/>
      <c r="N10" s="562"/>
      <c r="O10" s="562"/>
      <c r="P10" s="562"/>
      <c r="Q10" s="562"/>
      <c r="R10" s="562"/>
      <c r="S10" s="562"/>
      <c r="T10" s="562"/>
      <c r="U10" s="681"/>
      <c r="V10" s="681"/>
      <c r="W10" s="681"/>
      <c r="X10" s="681"/>
      <c r="Y10" s="681"/>
      <c r="Z10" s="681"/>
      <c r="AA10" s="681"/>
      <c r="AB10" s="681"/>
      <c r="AC10" s="681"/>
      <c r="AD10" s="681"/>
      <c r="AE10" s="681"/>
      <c r="AF10" s="681"/>
      <c r="AG10" s="681"/>
      <c r="AH10" s="681"/>
      <c r="AI10" s="681"/>
      <c r="AK10" s="682"/>
      <c r="AL10" s="682"/>
      <c r="AM10" s="682"/>
      <c r="AN10" s="682"/>
      <c r="AO10" s="682"/>
      <c r="AP10" s="682"/>
      <c r="AQ10" s="682"/>
      <c r="AR10" s="682"/>
      <c r="AS10" s="682"/>
      <c r="AT10" s="682"/>
      <c r="AU10" s="561"/>
      <c r="AV10" s="561"/>
      <c r="AW10" s="599"/>
      <c r="AX10" s="1163"/>
      <c r="AY10" s="1163"/>
      <c r="AZ10" s="1163"/>
      <c r="BA10" s="1163"/>
      <c r="BB10" s="850"/>
      <c r="BC10" s="850"/>
      <c r="BH10" s="681"/>
      <c r="BI10" s="681"/>
      <c r="BJ10" s="681"/>
      <c r="BK10" s="1611"/>
      <c r="BL10" s="681"/>
      <c r="BM10" s="681"/>
      <c r="BN10" s="681"/>
      <c r="BO10" s="681"/>
      <c r="BZ10" s="155"/>
      <c r="CA10" s="2076" t="s">
        <v>546</v>
      </c>
      <c r="CB10" s="1090">
        <v>58.37</v>
      </c>
      <c r="CC10" s="1090">
        <v>60.04</v>
      </c>
      <c r="CD10" s="2077">
        <f t="shared" si="10"/>
        <v>2.8610587630632178E-2</v>
      </c>
      <c r="CE10" s="155"/>
      <c r="CF10" s="155"/>
      <c r="CG10" s="155"/>
      <c r="CH10" s="155"/>
      <c r="CI10" s="155"/>
      <c r="CJ10" s="155"/>
      <c r="CK10" s="155"/>
      <c r="CL10" s="155"/>
      <c r="CM10" s="155"/>
      <c r="CN10" s="155"/>
    </row>
    <row r="11" spans="1:92" ht="15.6">
      <c r="A11" s="341"/>
      <c r="B11" s="341"/>
      <c r="C11" s="341"/>
      <c r="D11" s="341"/>
      <c r="E11" s="342"/>
      <c r="F11" s="342"/>
      <c r="G11" s="342"/>
      <c r="H11" s="342"/>
      <c r="I11" s="342"/>
      <c r="J11" s="342"/>
      <c r="K11" s="562"/>
      <c r="L11" s="563"/>
      <c r="M11" s="563"/>
      <c r="N11" s="563"/>
      <c r="O11" s="563"/>
      <c r="P11" s="563"/>
      <c r="Q11" s="563"/>
      <c r="R11" s="563"/>
      <c r="S11" s="563"/>
      <c r="T11" s="563"/>
      <c r="U11" s="681"/>
      <c r="V11" s="554"/>
      <c r="W11" s="547" t="s">
        <v>1628</v>
      </c>
      <c r="X11" s="548"/>
      <c r="Y11" s="548" t="s">
        <v>33</v>
      </c>
      <c r="Z11" s="548"/>
      <c r="AA11" s="548"/>
      <c r="AB11" s="548"/>
      <c r="AC11" s="548"/>
      <c r="AD11" s="548"/>
      <c r="AE11" s="548"/>
      <c r="AF11" s="548"/>
      <c r="AG11" s="548"/>
      <c r="AH11" s="551"/>
      <c r="AI11" s="681"/>
      <c r="AL11" s="608"/>
      <c r="AM11" s="610">
        <f t="shared" ref="AM11:AU11" si="11">AM5-AL5</f>
        <v>3.5925689170287001</v>
      </c>
      <c r="AN11" s="610">
        <f t="shared" si="11"/>
        <v>1.9304575168833722</v>
      </c>
      <c r="AO11" s="611">
        <f t="shared" si="11"/>
        <v>-3.9823195172446901</v>
      </c>
      <c r="AP11" s="610">
        <f t="shared" si="11"/>
        <v>2.3914222804985101</v>
      </c>
      <c r="AQ11" s="610">
        <f t="shared" si="11"/>
        <v>1.4441024798942053</v>
      </c>
      <c r="AR11" s="610">
        <f t="shared" si="11"/>
        <v>4.011277231643092</v>
      </c>
      <c r="AS11" s="610">
        <f t="shared" si="11"/>
        <v>0.24127494624821111</v>
      </c>
      <c r="AT11" s="610">
        <f t="shared" si="11"/>
        <v>-1.0893455620551578</v>
      </c>
      <c r="AU11" s="611">
        <f t="shared" si="11"/>
        <v>-4.2679913073877032</v>
      </c>
      <c r="AV11" s="611">
        <f>AV5-AU5</f>
        <v>-6.1337755700367182</v>
      </c>
      <c r="AW11" s="611">
        <f>AW5-AV5</f>
        <v>-0.49214900856996735</v>
      </c>
      <c r="AX11" s="1158">
        <f>AX5-AW5</f>
        <v>0.41247395010221055</v>
      </c>
      <c r="AY11" s="611">
        <f>AY5-AW5</f>
        <v>4.1765408697641462</v>
      </c>
      <c r="AZ11" s="1158">
        <f>AZ5-AY5</f>
        <v>-14.527122475217496</v>
      </c>
      <c r="BA11" s="1158">
        <f>BA5-AZ5</f>
        <v>-26.28</v>
      </c>
      <c r="BB11" s="611">
        <f>BB5-BA5</f>
        <v>10.82</v>
      </c>
      <c r="BC11" s="611">
        <f>BC5-BB5</f>
        <v>23.467499999999994</v>
      </c>
      <c r="BI11" s="155">
        <v>6</v>
      </c>
      <c r="BJ11" s="155">
        <v>2011</v>
      </c>
      <c r="BK11" s="1611">
        <f>AQ5</f>
        <v>53.751290875611595</v>
      </c>
      <c r="BL11" s="155">
        <f t="shared" si="5"/>
        <v>36</v>
      </c>
      <c r="BM11" s="155">
        <f t="shared" si="6"/>
        <v>322.50774525366955</v>
      </c>
      <c r="CA11" s="2076" t="s">
        <v>188</v>
      </c>
      <c r="CB11" s="1090">
        <v>64.19</v>
      </c>
      <c r="CC11" s="1090">
        <v>63.14</v>
      </c>
      <c r="CD11" s="2077">
        <f t="shared" si="10"/>
        <v>-1.6357688113413316E-2</v>
      </c>
      <c r="CE11" s="681"/>
      <c r="CF11" s="681"/>
      <c r="CG11" s="681"/>
      <c r="CH11" s="681"/>
      <c r="CI11" s="681"/>
      <c r="CJ11" s="681"/>
      <c r="CK11" s="681"/>
      <c r="CL11" s="681"/>
      <c r="CM11" s="681"/>
    </row>
    <row r="12" spans="1:92" ht="15.6">
      <c r="A12" s="341"/>
      <c r="B12" s="546" t="s">
        <v>903</v>
      </c>
      <c r="C12" s="341"/>
      <c r="D12" s="341"/>
      <c r="E12" s="342"/>
      <c r="F12" s="342"/>
      <c r="G12" s="342"/>
      <c r="H12" s="342"/>
      <c r="I12" s="342"/>
      <c r="J12" s="342"/>
      <c r="K12" s="343"/>
      <c r="L12" s="343"/>
      <c r="M12" s="343"/>
      <c r="N12" s="343"/>
      <c r="O12" s="343"/>
      <c r="P12" s="343"/>
      <c r="Q12" s="343"/>
      <c r="R12" s="343"/>
      <c r="S12" s="343"/>
      <c r="T12" s="343"/>
      <c r="U12" s="681"/>
      <c r="V12" s="4705"/>
      <c r="W12" s="549" t="s">
        <v>36</v>
      </c>
      <c r="X12" s="4720" t="s">
        <v>187</v>
      </c>
      <c r="Y12" s="4720" t="s">
        <v>546</v>
      </c>
      <c r="Z12" s="4720" t="s">
        <v>188</v>
      </c>
      <c r="AA12" s="4720" t="s">
        <v>189</v>
      </c>
      <c r="AB12" s="4720" t="s">
        <v>180</v>
      </c>
      <c r="AC12" s="4720" t="s">
        <v>42</v>
      </c>
      <c r="AD12" s="4720" t="s">
        <v>43</v>
      </c>
      <c r="AE12" s="4720" t="s">
        <v>44</v>
      </c>
      <c r="AF12" s="4720" t="s">
        <v>45</v>
      </c>
      <c r="AG12" s="4720" t="s">
        <v>1631</v>
      </c>
      <c r="AH12" s="4721" t="s">
        <v>1632</v>
      </c>
      <c r="AI12" s="1081"/>
      <c r="BI12" s="155">
        <v>7</v>
      </c>
      <c r="BJ12" s="155">
        <v>2012</v>
      </c>
      <c r="BK12" s="1611">
        <f>AR5</f>
        <v>57.762568107254687</v>
      </c>
      <c r="BL12" s="155">
        <f t="shared" si="5"/>
        <v>49</v>
      </c>
      <c r="BM12" s="155">
        <f t="shared" si="6"/>
        <v>404.33797675078279</v>
      </c>
      <c r="CA12" s="2076" t="s">
        <v>189</v>
      </c>
      <c r="CB12" s="1090">
        <v>58.05</v>
      </c>
      <c r="CC12" s="1090">
        <v>57.94</v>
      </c>
      <c r="CD12" s="2077">
        <f t="shared" si="10"/>
        <v>-1.8949181739879029E-3</v>
      </c>
      <c r="CE12" s="681"/>
      <c r="CF12" s="681"/>
      <c r="CG12" s="681"/>
      <c r="CH12" s="681"/>
      <c r="CI12" s="681"/>
      <c r="CJ12" s="681"/>
      <c r="CK12" s="681"/>
      <c r="CL12" s="681"/>
      <c r="CM12" s="681"/>
    </row>
    <row r="13" spans="1:92" ht="16.2" thickBot="1">
      <c r="A13" s="341"/>
      <c r="B13" s="1381" t="s">
        <v>856</v>
      </c>
      <c r="C13" s="987" t="s">
        <v>857</v>
      </c>
      <c r="D13" s="988"/>
      <c r="E13" s="989"/>
      <c r="F13" s="989"/>
      <c r="G13" s="989"/>
      <c r="H13" s="989"/>
      <c r="I13" s="989"/>
      <c r="J13" s="342"/>
      <c r="K13" s="343"/>
      <c r="L13" s="343"/>
      <c r="M13" s="343"/>
      <c r="N13" s="343"/>
      <c r="O13" s="343"/>
      <c r="P13" s="343"/>
      <c r="Q13" s="343"/>
      <c r="R13" s="343"/>
      <c r="S13" s="343"/>
      <c r="T13" s="343"/>
      <c r="U13" s="681"/>
      <c r="V13" s="4705"/>
      <c r="W13" s="3817"/>
      <c r="X13" s="3817"/>
      <c r="Y13" s="3817"/>
      <c r="Z13" s="3817"/>
      <c r="AA13" s="3817"/>
      <c r="AB13" s="3817"/>
      <c r="AC13" s="3817"/>
      <c r="AD13" s="3817"/>
      <c r="AE13" s="3817"/>
      <c r="AF13" s="5675"/>
      <c r="AG13" s="5675"/>
      <c r="AH13" s="5676"/>
      <c r="AI13" s="681"/>
      <c r="BI13" s="155">
        <v>8</v>
      </c>
      <c r="BJ13" s="155">
        <v>2013</v>
      </c>
      <c r="BK13" s="1611">
        <f>AS5</f>
        <v>58.003843053502898</v>
      </c>
      <c r="BL13" s="155">
        <f t="shared" si="5"/>
        <v>64</v>
      </c>
      <c r="BM13" s="155">
        <f t="shared" si="6"/>
        <v>464.03074442802318</v>
      </c>
      <c r="CA13" s="2076" t="s">
        <v>180</v>
      </c>
      <c r="CB13" s="1090">
        <v>61.5</v>
      </c>
      <c r="CC13" s="1090">
        <v>61.51</v>
      </c>
      <c r="CD13" s="2077">
        <f t="shared" si="10"/>
        <v>1.6260162601633432E-4</v>
      </c>
    </row>
    <row r="14" spans="1:92" ht="16.2" thickBot="1">
      <c r="A14" s="341"/>
      <c r="B14" s="341"/>
      <c r="C14" s="341"/>
      <c r="D14" s="341"/>
      <c r="E14" s="342"/>
      <c r="F14" s="342"/>
      <c r="G14" s="342"/>
      <c r="H14" s="342"/>
      <c r="I14" s="342"/>
      <c r="J14" s="342"/>
      <c r="K14" s="343"/>
      <c r="L14" s="343"/>
      <c r="M14" s="343"/>
      <c r="N14" s="343"/>
      <c r="O14" s="343"/>
      <c r="P14" s="343"/>
      <c r="Q14" s="343"/>
      <c r="R14" s="343"/>
      <c r="S14" s="343"/>
      <c r="T14" s="343"/>
      <c r="U14" s="681"/>
      <c r="V14" s="553" t="s">
        <v>151</v>
      </c>
      <c r="W14" s="856">
        <v>11</v>
      </c>
      <c r="X14" s="856">
        <v>16</v>
      </c>
      <c r="Y14" s="856">
        <v>15</v>
      </c>
      <c r="Z14" s="857">
        <v>13</v>
      </c>
      <c r="AA14" s="857">
        <v>14</v>
      </c>
      <c r="AB14" s="856">
        <v>23</v>
      </c>
      <c r="AC14" s="856">
        <v>23</v>
      </c>
      <c r="AD14" s="856">
        <v>28</v>
      </c>
      <c r="AE14" s="856">
        <v>28</v>
      </c>
      <c r="AF14" s="858">
        <v>30.5</v>
      </c>
      <c r="AG14" s="4479">
        <v>30.5</v>
      </c>
      <c r="AH14" s="4722">
        <v>30.5</v>
      </c>
      <c r="AI14" s="171"/>
      <c r="BI14" s="155">
        <v>9</v>
      </c>
      <c r="BJ14" s="155">
        <v>2014</v>
      </c>
      <c r="BK14" s="1611">
        <f>AT5</f>
        <v>56.91449749144774</v>
      </c>
      <c r="BL14" s="155">
        <f t="shared" si="5"/>
        <v>81</v>
      </c>
      <c r="BM14" s="155">
        <f t="shared" si="6"/>
        <v>512.2304774230297</v>
      </c>
      <c r="CA14" s="2076" t="s">
        <v>42</v>
      </c>
      <c r="CB14" s="1090">
        <v>57.76</v>
      </c>
      <c r="CC14" s="1090">
        <v>60.91</v>
      </c>
      <c r="CD14" s="2077">
        <f t="shared" si="10"/>
        <v>5.4536011080332347E-2</v>
      </c>
    </row>
    <row r="15" spans="1:92" ht="15.6">
      <c r="A15" s="179"/>
      <c r="B15" s="179"/>
      <c r="C15" s="179"/>
      <c r="D15" s="179"/>
      <c r="E15" s="255" t="s">
        <v>519</v>
      </c>
      <c r="F15" s="256"/>
      <c r="G15" s="257"/>
      <c r="H15" s="257"/>
      <c r="I15" s="257"/>
      <c r="J15" s="257"/>
      <c r="K15" s="257"/>
      <c r="L15" s="257"/>
      <c r="M15" s="257"/>
      <c r="N15" s="257"/>
      <c r="O15" s="257"/>
      <c r="P15" s="257"/>
      <c r="Q15" s="257"/>
      <c r="R15" s="257"/>
      <c r="S15" s="257"/>
      <c r="T15" s="257"/>
      <c r="U15" s="681"/>
      <c r="V15" s="555" t="s">
        <v>1404</v>
      </c>
      <c r="W15" s="4723">
        <v>21</v>
      </c>
      <c r="X15" s="4723">
        <v>25</v>
      </c>
      <c r="Y15" s="4723">
        <v>24</v>
      </c>
      <c r="Z15" s="4723">
        <v>28</v>
      </c>
      <c r="AA15" s="4723">
        <v>19</v>
      </c>
      <c r="AB15" s="4723">
        <v>33</v>
      </c>
      <c r="AC15" s="4723">
        <v>33</v>
      </c>
      <c r="AD15" s="4723">
        <v>31</v>
      </c>
      <c r="AE15" s="4723">
        <v>44.08</v>
      </c>
      <c r="AF15" s="4723">
        <v>45.56</v>
      </c>
      <c r="AG15" s="4723">
        <v>45.56</v>
      </c>
      <c r="AH15" s="861">
        <v>45.56</v>
      </c>
      <c r="AI15" s="171"/>
      <c r="BI15" s="155">
        <v>10</v>
      </c>
      <c r="BJ15" s="155">
        <v>2015</v>
      </c>
      <c r="BK15" s="1611">
        <f>AU5</f>
        <v>52.646506184060037</v>
      </c>
      <c r="BL15" s="155">
        <f t="shared" si="5"/>
        <v>100</v>
      </c>
      <c r="BM15" s="155">
        <f t="shared" si="6"/>
        <v>526.46506184060036</v>
      </c>
      <c r="CA15" s="2076" t="s">
        <v>43</v>
      </c>
      <c r="CB15" s="1090">
        <v>53.26</v>
      </c>
      <c r="CC15" s="1090">
        <v>55.6</v>
      </c>
      <c r="CD15" s="2077">
        <f t="shared" si="10"/>
        <v>4.3935411190386908E-2</v>
      </c>
    </row>
    <row r="16" spans="1:92" ht="27" customHeight="1" thickBot="1">
      <c r="A16" s="179"/>
      <c r="B16" s="179"/>
      <c r="C16" s="179"/>
      <c r="D16" s="179"/>
      <c r="E16" s="5663" t="s">
        <v>549</v>
      </c>
      <c r="F16" s="5663"/>
      <c r="G16" s="5663"/>
      <c r="H16" s="5663"/>
      <c r="I16" s="5663"/>
      <c r="J16" s="5663"/>
      <c r="K16" s="5663"/>
      <c r="L16" s="5663"/>
      <c r="M16" s="5663"/>
      <c r="N16" s="847"/>
      <c r="O16" s="1131"/>
      <c r="P16" s="1318"/>
      <c r="Q16" s="3658"/>
      <c r="R16" s="3658"/>
      <c r="S16" s="4706"/>
      <c r="T16" s="2219"/>
      <c r="U16" s="681"/>
      <c r="V16" s="555" t="s">
        <v>1405</v>
      </c>
      <c r="W16" s="4723">
        <v>10</v>
      </c>
      <c r="X16" s="4723">
        <v>17</v>
      </c>
      <c r="Y16" s="4723">
        <v>16</v>
      </c>
      <c r="Z16" s="4723">
        <v>15</v>
      </c>
      <c r="AA16" s="4723">
        <v>13</v>
      </c>
      <c r="AB16" s="4723">
        <v>22</v>
      </c>
      <c r="AC16" s="4723">
        <v>26</v>
      </c>
      <c r="AD16" s="4723">
        <v>32</v>
      </c>
      <c r="AE16" s="4723">
        <v>27.91</v>
      </c>
      <c r="AF16" s="4723">
        <v>31.28</v>
      </c>
      <c r="AG16" s="4723">
        <v>31.28</v>
      </c>
      <c r="AH16" s="861">
        <v>31.28</v>
      </c>
      <c r="AI16" s="171"/>
      <c r="BI16" s="155">
        <v>11</v>
      </c>
      <c r="BJ16" s="155">
        <v>2016</v>
      </c>
      <c r="BK16" s="1611">
        <f>AV5</f>
        <v>46.512730614023319</v>
      </c>
      <c r="BL16" s="155">
        <f t="shared" si="5"/>
        <v>121</v>
      </c>
      <c r="BM16" s="155">
        <f t="shared" si="6"/>
        <v>511.64003675425653</v>
      </c>
      <c r="BZ16" s="681"/>
      <c r="CA16" s="2078" t="s">
        <v>44</v>
      </c>
      <c r="CB16" s="2072">
        <v>65.02</v>
      </c>
      <c r="CC16" s="2072">
        <v>61.97</v>
      </c>
      <c r="CD16" s="2079">
        <f t="shared" si="10"/>
        <v>-4.6908643494309454E-2</v>
      </c>
      <c r="CN16" s="681"/>
    </row>
    <row r="17" spans="1:92" s="681" customFormat="1" ht="16.2" thickBot="1">
      <c r="A17" s="179"/>
      <c r="B17" s="179"/>
      <c r="C17" s="179"/>
      <c r="D17" s="179"/>
      <c r="E17" s="5663" t="s">
        <v>507</v>
      </c>
      <c r="F17" s="5663"/>
      <c r="G17" s="5663"/>
      <c r="H17" s="5663"/>
      <c r="I17" s="5663"/>
      <c r="J17" s="5663"/>
      <c r="K17" s="5663"/>
      <c r="L17" s="5663"/>
      <c r="M17" s="5663"/>
      <c r="N17" s="1068"/>
      <c r="O17" s="1131"/>
      <c r="P17" s="1318"/>
      <c r="Q17" s="3658"/>
      <c r="R17" s="3658"/>
      <c r="S17" s="4706"/>
      <c r="T17" s="2219"/>
      <c r="V17" s="556" t="s">
        <v>1406</v>
      </c>
      <c r="W17" s="862">
        <v>4</v>
      </c>
      <c r="X17" s="862">
        <v>7</v>
      </c>
      <c r="Y17" s="862">
        <v>5</v>
      </c>
      <c r="Z17" s="862">
        <v>8</v>
      </c>
      <c r="AA17" s="862">
        <v>14</v>
      </c>
      <c r="AB17" s="862">
        <v>21</v>
      </c>
      <c r="AC17" s="862">
        <v>16</v>
      </c>
      <c r="AD17" s="862">
        <v>13</v>
      </c>
      <c r="AE17" s="862">
        <v>13.28</v>
      </c>
      <c r="AF17" s="862">
        <v>20.3</v>
      </c>
      <c r="AG17" s="862">
        <v>20.3</v>
      </c>
      <c r="AH17" s="863">
        <v>20.3</v>
      </c>
      <c r="AI17" s="648"/>
      <c r="BK17" s="1611"/>
      <c r="BZ17" s="155"/>
      <c r="CA17" s="1330" t="s">
        <v>45</v>
      </c>
      <c r="CB17" s="2074">
        <v>64.39</v>
      </c>
      <c r="CC17" s="2075">
        <f>CR17*1.03</f>
        <v>0</v>
      </c>
      <c r="CD17" s="155"/>
      <c r="CE17" s="155"/>
      <c r="CF17" s="155"/>
      <c r="CG17" s="155"/>
      <c r="CH17" s="155"/>
      <c r="CI17" s="155"/>
      <c r="CJ17" s="155"/>
      <c r="CK17" s="155"/>
      <c r="CL17" s="155"/>
      <c r="CM17" s="155"/>
    </row>
    <row r="18" spans="1:92" s="681" customFormat="1" ht="27" customHeight="1" thickBot="1">
      <c r="A18" s="179"/>
      <c r="B18" s="179"/>
      <c r="C18" s="179"/>
      <c r="D18" s="179"/>
      <c r="E18" s="5663" t="s">
        <v>511</v>
      </c>
      <c r="F18" s="5663"/>
      <c r="G18" s="5663"/>
      <c r="H18" s="5663"/>
      <c r="I18" s="5663"/>
      <c r="J18" s="5663"/>
      <c r="K18" s="5663"/>
      <c r="L18" s="5663"/>
      <c r="M18" s="5663"/>
      <c r="N18" s="1068"/>
      <c r="O18" s="1131"/>
      <c r="P18" s="1318"/>
      <c r="Q18" s="3658"/>
      <c r="R18" s="3658"/>
      <c r="S18" s="4706"/>
      <c r="T18" s="2219"/>
      <c r="V18" s="864"/>
      <c r="W18" s="865">
        <f>W14/W23-1</f>
        <v>-0.56000000000000005</v>
      </c>
      <c r="X18" s="866">
        <f>X14/X23-1</f>
        <v>0.33333333333333326</v>
      </c>
      <c r="Y18" s="866">
        <f>Y14/Y23-1</f>
        <v>14</v>
      </c>
      <c r="Z18" s="866">
        <v>12</v>
      </c>
      <c r="AA18" s="866">
        <f t="shared" ref="AA18:AH18" si="12">AA14/AA23-1</f>
        <v>0.39999999999999991</v>
      </c>
      <c r="AB18" s="866">
        <f t="shared" si="12"/>
        <v>3.5999999999999996</v>
      </c>
      <c r="AC18" s="866">
        <f t="shared" si="12"/>
        <v>10.5</v>
      </c>
      <c r="AD18" s="866">
        <f t="shared" si="12"/>
        <v>3</v>
      </c>
      <c r="AE18" s="866">
        <f t="shared" si="12"/>
        <v>2.5</v>
      </c>
      <c r="AF18" s="866">
        <f t="shared" si="12"/>
        <v>1.3461538461538463</v>
      </c>
      <c r="AG18" s="866">
        <f t="shared" si="12"/>
        <v>1.3461538461538463</v>
      </c>
      <c r="AH18" s="866">
        <f t="shared" si="12"/>
        <v>0.79411764705882359</v>
      </c>
      <c r="AI18" s="648"/>
      <c r="BI18" s="681">
        <v>12</v>
      </c>
      <c r="BJ18" s="681">
        <v>2017</v>
      </c>
      <c r="BK18" s="1611">
        <f>AW5</f>
        <v>46.020581605453351</v>
      </c>
      <c r="BL18" s="681">
        <f t="shared" si="5"/>
        <v>144</v>
      </c>
      <c r="BM18" s="681">
        <f t="shared" si="6"/>
        <v>552.24697926544025</v>
      </c>
      <c r="BO18" s="155"/>
      <c r="BS18" s="155"/>
      <c r="BT18" s="155"/>
      <c r="BU18" s="155"/>
      <c r="BV18" s="155"/>
      <c r="BW18" s="155"/>
      <c r="BX18" s="155"/>
      <c r="BY18" s="155"/>
      <c r="BZ18" s="155"/>
      <c r="CA18" s="1330" t="s">
        <v>46</v>
      </c>
      <c r="CB18" s="2072">
        <v>66.569999999999993</v>
      </c>
      <c r="CC18" s="2068">
        <f>CR18*1.03</f>
        <v>0</v>
      </c>
      <c r="CD18" s="155"/>
      <c r="CE18" s="155"/>
      <c r="CF18" s="155"/>
      <c r="CG18" s="155"/>
      <c r="CH18" s="155"/>
      <c r="CI18" s="155"/>
      <c r="CJ18" s="155"/>
      <c r="CK18" s="155"/>
      <c r="CL18" s="155"/>
      <c r="CM18" s="155"/>
      <c r="CN18" s="155"/>
    </row>
    <row r="19" spans="1:92" ht="27" customHeight="1" thickBot="1">
      <c r="A19" s="179"/>
      <c r="B19" s="179"/>
      <c r="C19" s="179"/>
      <c r="D19" s="179"/>
      <c r="E19" s="5663" t="s">
        <v>518</v>
      </c>
      <c r="F19" s="5663"/>
      <c r="G19" s="5663"/>
      <c r="H19" s="5663"/>
      <c r="I19" s="5663"/>
      <c r="J19" s="5663"/>
      <c r="K19" s="5663"/>
      <c r="L19" s="5663"/>
      <c r="M19" s="5663"/>
      <c r="N19" s="847"/>
      <c r="O19" s="1131"/>
      <c r="P19" s="1318"/>
      <c r="Q19" s="3658"/>
      <c r="R19" s="3658"/>
      <c r="S19" s="4706"/>
      <c r="T19" s="2219"/>
      <c r="U19" s="681"/>
      <c r="V19" s="864"/>
      <c r="W19" s="5670" t="s">
        <v>1633</v>
      </c>
      <c r="X19" s="5671"/>
      <c r="Y19" s="5671"/>
      <c r="Z19" s="5671"/>
      <c r="AA19" s="5671"/>
      <c r="AB19" s="5671"/>
      <c r="AC19" s="5671"/>
      <c r="AD19" s="5671"/>
      <c r="AE19" s="5671"/>
      <c r="AF19" s="4478" t="s">
        <v>1869</v>
      </c>
      <c r="AG19" s="4477"/>
      <c r="AH19" s="4477"/>
      <c r="AI19" s="648"/>
      <c r="BI19" s="681">
        <v>13</v>
      </c>
      <c r="BJ19" s="681">
        <v>2018</v>
      </c>
      <c r="BK19" s="1611">
        <f>AY5</f>
        <v>50.197122475217498</v>
      </c>
      <c r="BL19" s="681">
        <f>BI19^2</f>
        <v>169</v>
      </c>
      <c r="BM19" s="681">
        <f>BI19*BK19</f>
        <v>652.56259217782747</v>
      </c>
      <c r="BN19" s="681"/>
      <c r="BV19" s="155" t="s">
        <v>541</v>
      </c>
      <c r="CA19" s="1331" t="s">
        <v>47</v>
      </c>
      <c r="CB19" s="2073">
        <v>45.35</v>
      </c>
      <c r="CC19" s="2069">
        <f>CR19*1.03</f>
        <v>0</v>
      </c>
    </row>
    <row r="20" spans="1:92" ht="27" customHeight="1" thickBot="1">
      <c r="A20" s="179"/>
      <c r="B20" s="179"/>
      <c r="C20" s="179"/>
      <c r="D20" s="179"/>
      <c r="E20" s="5663" t="s">
        <v>517</v>
      </c>
      <c r="F20" s="5663"/>
      <c r="G20" s="5663"/>
      <c r="H20" s="5663"/>
      <c r="I20" s="5663"/>
      <c r="J20" s="5663"/>
      <c r="K20" s="5663"/>
      <c r="L20" s="5663"/>
      <c r="M20" s="5663"/>
      <c r="N20" s="847"/>
      <c r="O20" s="1131"/>
      <c r="P20" s="1318"/>
      <c r="Q20" s="3658"/>
      <c r="R20" s="3658"/>
      <c r="S20" s="4706"/>
      <c r="T20" s="2219"/>
      <c r="U20" s="681"/>
      <c r="V20" s="3814"/>
      <c r="W20" s="3817"/>
      <c r="X20" s="3817"/>
      <c r="Y20" s="3817"/>
      <c r="Z20" s="3817"/>
      <c r="AA20" s="3817"/>
      <c r="AB20" s="3817"/>
      <c r="AC20" s="3817"/>
      <c r="AD20" s="3817"/>
      <c r="AE20" s="3817"/>
      <c r="AF20" s="5661"/>
      <c r="AG20" s="5661"/>
      <c r="AH20" s="5661"/>
      <c r="AI20" s="648"/>
      <c r="BI20" s="1609">
        <v>14</v>
      </c>
      <c r="BJ20" s="1609">
        <v>2019</v>
      </c>
      <c r="BK20" s="1612">
        <f>AZ5</f>
        <v>35.67</v>
      </c>
      <c r="BL20" s="1609">
        <f>BI20^2</f>
        <v>196</v>
      </c>
      <c r="BM20" s="1609">
        <f>BI20*BK20</f>
        <v>499.38</v>
      </c>
      <c r="BN20" s="1610" t="s">
        <v>576</v>
      </c>
    </row>
    <row r="21" spans="1:92">
      <c r="A21" s="179"/>
      <c r="B21" s="179"/>
      <c r="C21" s="179"/>
      <c r="D21" s="179"/>
      <c r="E21" s="5663"/>
      <c r="F21" s="5663"/>
      <c r="G21" s="5663"/>
      <c r="H21" s="5663"/>
      <c r="I21" s="5663"/>
      <c r="J21" s="5663"/>
      <c r="K21" s="5663"/>
      <c r="L21" s="5663"/>
      <c r="M21" s="5663"/>
      <c r="N21" s="847"/>
      <c r="O21" s="1131"/>
      <c r="P21" s="1318"/>
      <c r="Q21" s="3658"/>
      <c r="R21" s="3658"/>
      <c r="S21" s="4706"/>
      <c r="T21" s="2219"/>
      <c r="U21" s="681"/>
      <c r="W21" s="166" t="s">
        <v>1629</v>
      </c>
      <c r="X21" s="167"/>
      <c r="Y21" s="167" t="s">
        <v>33</v>
      </c>
      <c r="Z21" s="167"/>
      <c r="AA21" s="167"/>
      <c r="AB21" s="167"/>
      <c r="AC21" s="167"/>
      <c r="AD21" s="167"/>
      <c r="AE21" s="167"/>
      <c r="AF21" s="167"/>
      <c r="AG21" s="167"/>
      <c r="AH21" s="168"/>
      <c r="AI21" s="169"/>
      <c r="BI21" s="383">
        <v>15</v>
      </c>
      <c r="BJ21" s="383">
        <v>2020</v>
      </c>
      <c r="BK21" s="1613">
        <f t="shared" ref="BK21:BK30" si="13">($BQ$25*BI21)+$BQ$22</f>
        <v>46.579447166537832</v>
      </c>
    </row>
    <row r="22" spans="1:92" ht="15" thickBot="1">
      <c r="A22" s="179"/>
      <c r="B22" s="179"/>
      <c r="C22" s="179"/>
      <c r="D22" s="179"/>
      <c r="E22" s="5662" t="s">
        <v>516</v>
      </c>
      <c r="F22" s="5662"/>
      <c r="G22" s="5662"/>
      <c r="H22" s="5662"/>
      <c r="I22" s="5662"/>
      <c r="J22" s="5662"/>
      <c r="K22" s="5662"/>
      <c r="L22" s="5662"/>
      <c r="M22" s="254"/>
      <c r="N22" s="847"/>
      <c r="O22" s="1131"/>
      <c r="P22" s="1318"/>
      <c r="Q22" s="3658"/>
      <c r="R22" s="3658"/>
      <c r="S22" s="4706"/>
      <c r="T22" s="2219"/>
      <c r="U22" s="681"/>
      <c r="W22" s="466" t="s">
        <v>36</v>
      </c>
      <c r="X22" s="467" t="s">
        <v>37</v>
      </c>
      <c r="Y22" s="467" t="s">
        <v>38</v>
      </c>
      <c r="Z22" s="467" t="s">
        <v>39</v>
      </c>
      <c r="AA22" s="467" t="s">
        <v>40</v>
      </c>
      <c r="AB22" s="467" t="s">
        <v>41</v>
      </c>
      <c r="AC22" s="467" t="s">
        <v>42</v>
      </c>
      <c r="AD22" s="467" t="s">
        <v>43</v>
      </c>
      <c r="AE22" s="467" t="s">
        <v>44</v>
      </c>
      <c r="AF22" s="467" t="s">
        <v>45</v>
      </c>
      <c r="AG22" s="467" t="s">
        <v>46</v>
      </c>
      <c r="AH22" s="467" t="s">
        <v>47</v>
      </c>
      <c r="BI22" s="383">
        <v>16</v>
      </c>
      <c r="BJ22" s="383">
        <v>2021</v>
      </c>
      <c r="BK22" s="1613">
        <f t="shared" si="13"/>
        <v>45.990584237656186</v>
      </c>
      <c r="BO22" s="382" t="s">
        <v>544</v>
      </c>
      <c r="BP22" s="606">
        <f>(BK4*BL4)-(BI4*BM4)</f>
        <v>176488.4656527437</v>
      </c>
      <c r="BQ22" s="45">
        <f>BP22/BP23</f>
        <v>55.412391099762544</v>
      </c>
      <c r="BT22" s="155" t="s">
        <v>537</v>
      </c>
      <c r="BU22" s="155">
        <f>_xlfn.COVARIANCE.P(BJ5:BJ18,BK5:BK18)</f>
        <v>-1.1524787121155136</v>
      </c>
    </row>
    <row r="23" spans="1:92" ht="15" thickBot="1">
      <c r="A23" s="179"/>
      <c r="B23" s="179"/>
      <c r="C23" s="179"/>
      <c r="D23" s="179"/>
      <c r="N23" s="847"/>
      <c r="P23" s="1318"/>
      <c r="Q23" s="3658"/>
      <c r="R23" s="3658"/>
      <c r="S23" s="4706"/>
      <c r="T23" s="2219"/>
      <c r="U23" s="681"/>
      <c r="V23" s="335" t="s">
        <v>151</v>
      </c>
      <c r="W23" s="3821">
        <v>25</v>
      </c>
      <c r="X23" s="3822">
        <v>12</v>
      </c>
      <c r="Y23" s="3823">
        <v>1</v>
      </c>
      <c r="Z23" s="3823">
        <v>0</v>
      </c>
      <c r="AA23" s="3823">
        <v>10</v>
      </c>
      <c r="AB23" s="3822">
        <v>5</v>
      </c>
      <c r="AC23" s="3823">
        <v>2</v>
      </c>
      <c r="AD23" s="3824">
        <v>7</v>
      </c>
      <c r="AE23" s="3824">
        <v>8</v>
      </c>
      <c r="AF23" s="3823">
        <v>13</v>
      </c>
      <c r="AG23" s="3823">
        <v>13</v>
      </c>
      <c r="AH23" s="3823">
        <v>17</v>
      </c>
      <c r="AI23" s="169"/>
      <c r="AK23" s="179"/>
      <c r="AL23" s="184"/>
      <c r="AM23" s="184"/>
      <c r="AN23" s="184"/>
      <c r="AO23" s="184"/>
      <c r="AP23" s="184"/>
      <c r="AQ23" s="184"/>
      <c r="AR23" s="184"/>
      <c r="AS23" s="185"/>
      <c r="AT23" s="186"/>
      <c r="AU23" s="186"/>
      <c r="AV23" s="184"/>
      <c r="AW23" s="184"/>
      <c r="AX23" s="184"/>
      <c r="AY23" s="184"/>
      <c r="AZ23" s="184"/>
      <c r="BA23" s="184"/>
      <c r="BB23" s="184"/>
      <c r="BC23" s="184"/>
      <c r="BD23" s="184"/>
      <c r="BI23" s="383">
        <v>17</v>
      </c>
      <c r="BJ23" s="383">
        <v>2022</v>
      </c>
      <c r="BK23" s="1613">
        <f t="shared" si="13"/>
        <v>45.40172130877454</v>
      </c>
      <c r="BO23" s="382"/>
      <c r="BP23" s="155">
        <f>(BI20*BL4)-(BI4*BI4)</f>
        <v>3185</v>
      </c>
      <c r="BT23" s="155" t="s">
        <v>538</v>
      </c>
      <c r="BU23" s="155">
        <f>_xlfn.STDEV.P(BJ5:BJ18)</f>
        <v>3.4520525295346629</v>
      </c>
    </row>
    <row r="24" spans="1:92">
      <c r="A24" s="179"/>
      <c r="B24" s="179"/>
      <c r="C24" s="179"/>
      <c r="D24" s="179"/>
      <c r="N24" s="254"/>
      <c r="O24" s="254"/>
      <c r="P24" s="254"/>
      <c r="Q24" s="254"/>
      <c r="R24" s="254"/>
      <c r="S24" s="254"/>
      <c r="T24" s="254"/>
      <c r="U24" s="681"/>
      <c r="V24" s="336" t="s">
        <v>1404</v>
      </c>
      <c r="W24" s="3818">
        <v>63</v>
      </c>
      <c r="X24" s="3819">
        <v>1</v>
      </c>
      <c r="Y24" s="3820">
        <v>0</v>
      </c>
      <c r="Z24" s="3820">
        <v>0</v>
      </c>
      <c r="AA24" s="3820">
        <v>8</v>
      </c>
      <c r="AB24" s="3819">
        <v>10</v>
      </c>
      <c r="AC24" s="3820">
        <v>4</v>
      </c>
      <c r="AD24" s="3820">
        <v>18</v>
      </c>
      <c r="AE24" s="3820">
        <v>17</v>
      </c>
      <c r="AF24" s="3820">
        <v>20</v>
      </c>
      <c r="AG24" s="3820">
        <v>23</v>
      </c>
      <c r="AH24" s="3820">
        <v>27</v>
      </c>
      <c r="AK24" s="179"/>
      <c r="AL24" s="184"/>
      <c r="AM24" s="184"/>
      <c r="AN24" s="184"/>
      <c r="AO24" s="184"/>
      <c r="AP24" s="184"/>
      <c r="AQ24" s="184"/>
      <c r="AR24" s="184"/>
      <c r="AS24" s="185"/>
      <c r="AT24" s="186"/>
      <c r="AU24" s="186"/>
      <c r="AV24" s="184"/>
      <c r="AW24" s="184"/>
      <c r="AX24" s="184"/>
      <c r="AY24" s="184"/>
      <c r="AZ24" s="184"/>
      <c r="BA24" s="184"/>
      <c r="BB24" s="184"/>
      <c r="BC24" s="184"/>
      <c r="BD24" s="184"/>
      <c r="BI24" s="383">
        <v>18</v>
      </c>
      <c r="BJ24" s="383">
        <v>2023</v>
      </c>
      <c r="BK24" s="1613">
        <f t="shared" si="13"/>
        <v>44.812858379892887</v>
      </c>
      <c r="BT24" s="155" t="s">
        <v>539</v>
      </c>
      <c r="BU24" s="155">
        <f>_xlfn.STDEV.P(BK5:BK18)</f>
        <v>3.900344299639078</v>
      </c>
    </row>
    <row r="25" spans="1:92">
      <c r="A25" s="179"/>
      <c r="B25" s="179"/>
      <c r="C25" s="179"/>
      <c r="D25" s="179"/>
      <c r="E25" s="247"/>
      <c r="F25" s="247"/>
      <c r="G25" s="177"/>
      <c r="H25" s="177"/>
      <c r="I25" s="177"/>
      <c r="J25" s="180"/>
      <c r="K25" s="177"/>
      <c r="L25" s="177"/>
      <c r="M25" s="177"/>
      <c r="N25" s="177"/>
      <c r="O25" s="177"/>
      <c r="P25" s="177"/>
      <c r="Q25" s="177"/>
      <c r="R25" s="177"/>
      <c r="S25" s="177"/>
      <c r="T25" s="177"/>
      <c r="U25" s="681"/>
      <c r="V25" s="336" t="s">
        <v>1405</v>
      </c>
      <c r="W25" s="871">
        <v>15</v>
      </c>
      <c r="X25" s="872">
        <v>17</v>
      </c>
      <c r="Y25" s="873">
        <v>1</v>
      </c>
      <c r="Z25" s="873">
        <v>0</v>
      </c>
      <c r="AA25" s="873">
        <v>11</v>
      </c>
      <c r="AB25" s="872">
        <v>3</v>
      </c>
      <c r="AC25" s="874">
        <v>1</v>
      </c>
      <c r="AD25" s="874">
        <v>0</v>
      </c>
      <c r="AE25" s="874">
        <v>5</v>
      </c>
      <c r="AF25" s="874">
        <v>12</v>
      </c>
      <c r="AG25" s="874">
        <v>7</v>
      </c>
      <c r="AH25" s="874">
        <v>8</v>
      </c>
      <c r="AI25" s="171"/>
      <c r="AK25" s="179"/>
      <c r="AL25" s="184"/>
      <c r="AM25" s="184"/>
      <c r="AN25" s="184"/>
      <c r="AO25" s="184"/>
      <c r="AP25" s="184"/>
      <c r="AQ25" s="184"/>
      <c r="AR25" s="184"/>
      <c r="AS25" s="185"/>
      <c r="AT25" s="186"/>
      <c r="AU25" s="186"/>
      <c r="AV25" s="153"/>
      <c r="AW25" s="184"/>
      <c r="AX25" s="184"/>
      <c r="AY25" s="184"/>
      <c r="AZ25" s="184"/>
      <c r="BA25" s="184"/>
      <c r="BB25" s="184"/>
      <c r="BC25" s="184"/>
      <c r="BD25" s="184"/>
      <c r="BI25" s="383">
        <v>19</v>
      </c>
      <c r="BJ25" s="383">
        <v>2024</v>
      </c>
      <c r="BK25" s="1613">
        <f t="shared" si="13"/>
        <v>44.223995451011241</v>
      </c>
      <c r="BO25" s="382" t="s">
        <v>545</v>
      </c>
      <c r="BP25" s="606">
        <f>(BI20*BM4)-(BI4*BK4)</f>
        <v>-1875.5284284880472</v>
      </c>
      <c r="BQ25" s="45">
        <f>BP25/BP23</f>
        <v>-0.58886292888164748</v>
      </c>
      <c r="BT25" s="155" t="s">
        <v>540</v>
      </c>
      <c r="BU25" s="155">
        <f>CORREL(BJ5:BJ18,BK5:BK18)</f>
        <v>-8.5595822742268499E-2</v>
      </c>
      <c r="BV25" s="155">
        <f>BU25^2</f>
        <v>7.326644870925849E-3</v>
      </c>
    </row>
    <row r="26" spans="1:92" ht="15" thickBot="1">
      <c r="A26" s="179"/>
      <c r="B26" s="179"/>
      <c r="C26" s="179"/>
      <c r="D26" s="179"/>
      <c r="F26" s="247"/>
      <c r="G26" s="177"/>
      <c r="H26" s="177"/>
      <c r="I26" s="177"/>
      <c r="J26" s="180"/>
      <c r="K26" s="177"/>
      <c r="L26" s="177"/>
      <c r="M26" s="177"/>
      <c r="N26" s="177"/>
      <c r="P26" s="177"/>
      <c r="Q26" s="177"/>
      <c r="R26" s="177"/>
      <c r="S26" s="177"/>
      <c r="T26" s="177"/>
      <c r="U26" s="681"/>
      <c r="V26" s="468" t="s">
        <v>1406</v>
      </c>
      <c r="W26" s="875">
        <v>8</v>
      </c>
      <c r="X26" s="876">
        <v>2</v>
      </c>
      <c r="Y26" s="877">
        <v>1</v>
      </c>
      <c r="Z26" s="877">
        <v>1</v>
      </c>
      <c r="AA26" s="877">
        <v>11</v>
      </c>
      <c r="AB26" s="876">
        <v>5</v>
      </c>
      <c r="AC26" s="878">
        <v>2</v>
      </c>
      <c r="AD26" s="878">
        <v>5</v>
      </c>
      <c r="AE26" s="878">
        <v>5</v>
      </c>
      <c r="AF26" s="878">
        <v>12</v>
      </c>
      <c r="AG26" s="878">
        <v>11</v>
      </c>
      <c r="AH26" s="878">
        <v>15</v>
      </c>
      <c r="AI26" s="1076"/>
      <c r="BI26" s="383">
        <v>20</v>
      </c>
      <c r="BJ26" s="383">
        <v>2025</v>
      </c>
      <c r="BK26" s="1613">
        <f t="shared" si="13"/>
        <v>43.635132522129595</v>
      </c>
      <c r="BP26" s="155">
        <f>(11*BL4)-(BI4*BI4)</f>
        <v>140</v>
      </c>
    </row>
    <row r="27" spans="1:92" ht="15" thickBot="1">
      <c r="A27" s="179"/>
      <c r="B27" s="179"/>
      <c r="C27" s="179"/>
      <c r="D27" s="179"/>
      <c r="N27" s="177"/>
      <c r="O27" s="177"/>
      <c r="P27" s="177"/>
      <c r="Q27" s="177"/>
      <c r="R27" s="177"/>
      <c r="S27" s="177"/>
      <c r="T27" s="177"/>
      <c r="U27" s="681"/>
      <c r="V27" s="879"/>
      <c r="W27" s="865">
        <f t="shared" ref="W27:AH27" si="14">W23/W33-1</f>
        <v>-0.48905954365378712</v>
      </c>
      <c r="X27" s="866">
        <f t="shared" si="14"/>
        <v>-0.76439492898191208</v>
      </c>
      <c r="Y27" s="866">
        <f t="shared" si="14"/>
        <v>-0.98123520604798209</v>
      </c>
      <c r="Z27" s="866">
        <f t="shared" si="14"/>
        <v>-1</v>
      </c>
      <c r="AA27" s="866">
        <f t="shared" si="14"/>
        <v>-0.78304424124554317</v>
      </c>
      <c r="AB27" s="866">
        <f t="shared" si="14"/>
        <v>-0.9015111632792584</v>
      </c>
      <c r="AC27" s="866">
        <f t="shared" si="14"/>
        <v>-0.96281237827588761</v>
      </c>
      <c r="AD27" s="866">
        <f t="shared" si="14"/>
        <v>-0.8599251976053599</v>
      </c>
      <c r="AE27" s="866">
        <f t="shared" si="14"/>
        <v>-0.83450238801625654</v>
      </c>
      <c r="AF27" s="866">
        <f t="shared" si="14"/>
        <v>-0.79849681827268004</v>
      </c>
      <c r="AG27" s="866">
        <f t="shared" si="14"/>
        <v>-0.75435070420828731</v>
      </c>
      <c r="AH27" s="866">
        <f t="shared" si="14"/>
        <v>-0.52380952380952384</v>
      </c>
      <c r="AI27" s="1076"/>
      <c r="BI27" s="383">
        <v>21</v>
      </c>
      <c r="BJ27" s="383">
        <v>2026</v>
      </c>
      <c r="BK27" s="1613">
        <f t="shared" si="13"/>
        <v>43.046269593247949</v>
      </c>
    </row>
    <row r="28" spans="1:92" ht="15" thickBot="1">
      <c r="A28" s="179"/>
      <c r="B28" s="179"/>
      <c r="C28" s="179"/>
      <c r="D28" s="179"/>
      <c r="N28" s="177"/>
      <c r="P28" s="177"/>
      <c r="Q28" s="177"/>
      <c r="R28" s="177"/>
      <c r="S28" s="177"/>
      <c r="T28" s="177"/>
      <c r="U28" s="681"/>
      <c r="W28" s="5670" t="s">
        <v>1633</v>
      </c>
      <c r="X28" s="5671"/>
      <c r="Y28" s="5671"/>
      <c r="Z28" s="5671"/>
      <c r="AA28" s="5671"/>
      <c r="AB28" s="5671"/>
      <c r="AC28" s="5671"/>
      <c r="AD28" s="5671"/>
      <c r="AE28" s="5671"/>
      <c r="AF28" s="5671"/>
      <c r="AG28" s="5671"/>
      <c r="AH28" s="5671"/>
      <c r="AI28" s="1076"/>
      <c r="BI28" s="383">
        <v>22</v>
      </c>
      <c r="BJ28" s="383">
        <v>2027</v>
      </c>
      <c r="BK28" s="1613">
        <f t="shared" si="13"/>
        <v>42.457406664366303</v>
      </c>
    </row>
    <row r="29" spans="1:92" ht="15" thickBot="1">
      <c r="A29" s="179"/>
      <c r="B29" s="179"/>
      <c r="C29" s="179"/>
      <c r="D29" s="179"/>
      <c r="N29" s="177"/>
      <c r="O29" s="177"/>
      <c r="P29" s="177"/>
      <c r="Q29" s="177"/>
      <c r="R29" s="177"/>
      <c r="S29" s="177"/>
      <c r="T29" s="177"/>
      <c r="U29" s="681"/>
      <c r="V29" s="3814"/>
      <c r="W29" s="3817"/>
      <c r="X29" s="3817"/>
      <c r="Y29" s="3817"/>
      <c r="Z29" s="3817"/>
      <c r="AA29" s="3817"/>
      <c r="AB29" s="3817"/>
      <c r="AC29" s="3817"/>
      <c r="AD29" s="3817"/>
      <c r="AE29" s="3817"/>
      <c r="AF29" s="5661"/>
      <c r="AG29" s="5661"/>
      <c r="AH29" s="5661"/>
      <c r="AI29" s="1076"/>
      <c r="BI29" s="383">
        <v>23</v>
      </c>
      <c r="BJ29" s="383">
        <v>2028</v>
      </c>
      <c r="BK29" s="1613">
        <f t="shared" si="13"/>
        <v>41.86854373548465</v>
      </c>
    </row>
    <row r="30" spans="1:92">
      <c r="U30" s="681"/>
      <c r="V30" s="346"/>
      <c r="W30" s="1348" t="s">
        <v>1064</v>
      </c>
      <c r="X30" s="1328"/>
      <c r="Y30" s="1328" t="s">
        <v>33</v>
      </c>
      <c r="Z30" s="1328"/>
      <c r="AA30" s="1328"/>
      <c r="AB30" s="1328"/>
      <c r="AC30" s="1328"/>
      <c r="AD30" s="1328"/>
      <c r="AE30" s="1328"/>
      <c r="AF30" s="1328"/>
      <c r="AG30" s="1328"/>
      <c r="AH30" s="1329"/>
      <c r="AI30" s="1076"/>
      <c r="BI30" s="383">
        <v>24</v>
      </c>
      <c r="BJ30" s="383">
        <v>2029</v>
      </c>
      <c r="BK30" s="1613">
        <f t="shared" si="13"/>
        <v>41.279680806603004</v>
      </c>
    </row>
    <row r="31" spans="1:92">
      <c r="U31" s="681"/>
      <c r="V31" s="559"/>
      <c r="W31" s="1349" t="s">
        <v>36</v>
      </c>
      <c r="X31" s="1330" t="s">
        <v>187</v>
      </c>
      <c r="Y31" s="1330" t="s">
        <v>546</v>
      </c>
      <c r="Z31" s="1330" t="s">
        <v>188</v>
      </c>
      <c r="AA31" s="1330" t="s">
        <v>189</v>
      </c>
      <c r="AB31" s="1330" t="s">
        <v>180</v>
      </c>
      <c r="AC31" s="1330" t="s">
        <v>42</v>
      </c>
      <c r="AD31" s="1330" t="s">
        <v>43</v>
      </c>
      <c r="AE31" s="1330" t="s">
        <v>44</v>
      </c>
      <c r="AF31" s="1330" t="s">
        <v>45</v>
      </c>
      <c r="AG31" s="1330" t="s">
        <v>46</v>
      </c>
      <c r="AH31" s="1331" t="s">
        <v>47</v>
      </c>
      <c r="AI31" s="1076"/>
    </row>
    <row r="32" spans="1:92" ht="15" thickBot="1">
      <c r="U32" s="681"/>
      <c r="V32" s="559"/>
      <c r="W32" s="1350" t="s">
        <v>576</v>
      </c>
      <c r="X32" s="1102" t="s">
        <v>576</v>
      </c>
      <c r="Y32" s="1102" t="s">
        <v>576</v>
      </c>
      <c r="Z32" s="1102" t="s">
        <v>576</v>
      </c>
      <c r="AA32" s="1102" t="s">
        <v>576</v>
      </c>
      <c r="AB32" s="1102" t="s">
        <v>576</v>
      </c>
      <c r="AC32" s="1102" t="s">
        <v>576</v>
      </c>
      <c r="AD32" s="1102" t="s">
        <v>576</v>
      </c>
      <c r="AE32" s="1102" t="s">
        <v>576</v>
      </c>
      <c r="AF32" s="1102" t="s">
        <v>576</v>
      </c>
      <c r="AG32" s="1102" t="s">
        <v>576</v>
      </c>
      <c r="AH32" s="2177"/>
      <c r="AI32" s="171"/>
    </row>
    <row r="33" spans="21:66" ht="16.2" thickBot="1">
      <c r="U33" s="681"/>
      <c r="V33" s="1335" t="s">
        <v>1009</v>
      </c>
      <c r="W33" s="1339">
        <f>W49+W49*W39</f>
        <v>48.929380497245297</v>
      </c>
      <c r="X33" s="1104">
        <f t="shared" ref="X33:AG33" si="15">X49+X49*X39</f>
        <v>50.932689810733024</v>
      </c>
      <c r="Y33" s="1104">
        <f t="shared" si="15"/>
        <v>53.291285934555418</v>
      </c>
      <c r="Z33" s="1104">
        <f t="shared" si="15"/>
        <v>48.732591057797165</v>
      </c>
      <c r="AA33" s="1104">
        <f t="shared" si="15"/>
        <v>46.092346464597227</v>
      </c>
      <c r="AB33" s="1104">
        <f t="shared" si="15"/>
        <v>50.767174905082484</v>
      </c>
      <c r="AC33" s="1104">
        <f t="shared" si="15"/>
        <v>53.78133656509695</v>
      </c>
      <c r="AD33" s="1104">
        <f t="shared" si="15"/>
        <v>49.973299125409667</v>
      </c>
      <c r="AE33" s="1104">
        <f t="shared" si="15"/>
        <v>48.339066069338976</v>
      </c>
      <c r="AF33" s="1104">
        <f t="shared" si="15"/>
        <v>64.515110325116282</v>
      </c>
      <c r="AG33" s="1104">
        <f t="shared" si="15"/>
        <v>52.920974017457659</v>
      </c>
      <c r="AH33" s="2178">
        <v>35.700000000000003</v>
      </c>
      <c r="AI33" s="171"/>
      <c r="BN33" s="990"/>
    </row>
    <row r="34" spans="21:66" ht="16.2" thickBot="1">
      <c r="U34" s="681"/>
      <c r="V34" s="1336" t="s">
        <v>858</v>
      </c>
      <c r="W34" s="1340">
        <f t="shared" ref="W34:AG34" si="16">AVERAGE(W35,W40,W42)</f>
        <v>40.56843422032636</v>
      </c>
      <c r="X34" s="1145">
        <f t="shared" si="16"/>
        <v>47.14196923852748</v>
      </c>
      <c r="Y34" s="1145">
        <f t="shared" si="16"/>
        <v>50.87452115812917</v>
      </c>
      <c r="Z34" s="1145">
        <f t="shared" si="16"/>
        <v>49.570770628862228</v>
      </c>
      <c r="AA34" s="1145">
        <f t="shared" si="16"/>
        <v>44.441995406258968</v>
      </c>
      <c r="AB34" s="1145">
        <f t="shared" si="16"/>
        <v>50.756653116531169</v>
      </c>
      <c r="AC34" s="1145">
        <f t="shared" si="16"/>
        <v>48.845341643582636</v>
      </c>
      <c r="AD34" s="1145">
        <f t="shared" si="16"/>
        <v>45.090299161346856</v>
      </c>
      <c r="AE34" s="1145">
        <f t="shared" si="16"/>
        <v>45.92640572131652</v>
      </c>
      <c r="AF34" s="1145">
        <f t="shared" si="16"/>
        <v>53.836950000000002</v>
      </c>
      <c r="AG34" s="1145">
        <f t="shared" si="16"/>
        <v>50.774516666666671</v>
      </c>
      <c r="AH34" s="2179">
        <v>35.67</v>
      </c>
      <c r="AI34" s="171"/>
    </row>
    <row r="35" spans="21:66">
      <c r="U35" s="681"/>
      <c r="V35" s="1134" t="s">
        <v>913</v>
      </c>
      <c r="W35" s="1341">
        <f>AVERAGE(W36:W37)</f>
        <v>50.335000000000001</v>
      </c>
      <c r="X35" s="1333">
        <f>AVERAGE(X36:X37)</f>
        <v>61.024999999999999</v>
      </c>
      <c r="Y35" s="1333">
        <f>AVERAGE(Y36:Y37)</f>
        <v>59.019999999999996</v>
      </c>
      <c r="Z35" s="1333">
        <f>AVERAGE(Z36:Z37)</f>
        <v>67.069999999999993</v>
      </c>
      <c r="AA35" s="1333">
        <f>AVERAGE(AA36:AA37)</f>
        <v>57.47</v>
      </c>
      <c r="AB35" s="1333">
        <f t="shared" ref="AB35:AG35" si="17">AVERAGE(AB36:AB37)</f>
        <v>60.254999999999995</v>
      </c>
      <c r="AC35" s="1333">
        <f t="shared" si="17"/>
        <v>57.954999999999998</v>
      </c>
      <c r="AD35" s="1333">
        <f t="shared" si="17"/>
        <v>52.8</v>
      </c>
      <c r="AE35" s="1333">
        <f t="shared" si="17"/>
        <v>62.484999999999999</v>
      </c>
      <c r="AF35" s="1333">
        <f t="shared" si="17"/>
        <v>63.660850000000003</v>
      </c>
      <c r="AG35" s="1333">
        <f t="shared" si="17"/>
        <v>66.833550000000002</v>
      </c>
      <c r="AH35" s="2187">
        <v>49.6</v>
      </c>
      <c r="AI35" s="171"/>
    </row>
    <row r="36" spans="21:66" ht="15.6">
      <c r="U36" s="165"/>
      <c r="V36" s="1087" t="s">
        <v>907</v>
      </c>
      <c r="W36" s="1342">
        <v>49</v>
      </c>
      <c r="X36" s="1103">
        <v>63</v>
      </c>
      <c r="Y36" s="1103">
        <v>58</v>
      </c>
      <c r="Z36" s="1103">
        <v>71</v>
      </c>
      <c r="AA36" s="1103">
        <v>57</v>
      </c>
      <c r="AB36" s="1103">
        <v>59</v>
      </c>
      <c r="AC36" s="1103">
        <v>55</v>
      </c>
      <c r="AD36" s="1103">
        <v>50</v>
      </c>
      <c r="AE36" s="1103">
        <v>63</v>
      </c>
      <c r="AF36" s="1103">
        <v>61</v>
      </c>
      <c r="AG36" s="1103">
        <f>AG52*1.05</f>
        <v>65.100000000000009</v>
      </c>
      <c r="AH36" s="2180"/>
      <c r="AI36" s="171"/>
    </row>
    <row r="37" spans="21:66" ht="15.6">
      <c r="U37" s="1084"/>
      <c r="V37" s="5666" t="s">
        <v>1066</v>
      </c>
      <c r="W37" s="1343">
        <v>51.67</v>
      </c>
      <c r="X37" s="1089">
        <v>59.05</v>
      </c>
      <c r="Y37" s="1089">
        <v>60.04</v>
      </c>
      <c r="Z37" s="1089">
        <v>63.14</v>
      </c>
      <c r="AA37" s="1089">
        <v>57.94</v>
      </c>
      <c r="AB37" s="1089">
        <v>61.51</v>
      </c>
      <c r="AC37" s="1089">
        <v>60.91</v>
      </c>
      <c r="AD37" s="1089">
        <v>55.6</v>
      </c>
      <c r="AE37" s="1089">
        <v>61.97</v>
      </c>
      <c r="AF37" s="1332">
        <f>AF53*1.03</f>
        <v>66.321700000000007</v>
      </c>
      <c r="AG37" s="1332">
        <f>AG53*1.03</f>
        <v>68.567099999999996</v>
      </c>
      <c r="AH37" s="2181"/>
      <c r="AI37" s="171"/>
    </row>
    <row r="38" spans="21:66" ht="71.400000000000006">
      <c r="U38" s="465"/>
      <c r="V38" s="5666"/>
      <c r="W38" s="1344" t="s">
        <v>1061</v>
      </c>
      <c r="X38" s="5667" t="s">
        <v>1361</v>
      </c>
      <c r="Y38" s="5668"/>
      <c r="Z38" s="5668"/>
      <c r="AA38" s="5668"/>
      <c r="AB38" s="5668"/>
      <c r="AC38" s="5668"/>
      <c r="AD38" s="5668"/>
      <c r="AE38" s="5669"/>
      <c r="AF38" s="1334"/>
      <c r="AG38" s="1334"/>
      <c r="AH38" s="2188" t="s">
        <v>1401</v>
      </c>
      <c r="AI38" s="178"/>
    </row>
    <row r="39" spans="21:66">
      <c r="U39" s="465"/>
      <c r="V39" s="1358"/>
      <c r="W39" s="1359">
        <f>W37/W53-1</f>
        <v>4.9563274426162929E-2</v>
      </c>
      <c r="X39" s="1334">
        <f t="shared" ref="X39:AG39" si="18">X37/X53-1</f>
        <v>-7.3962010421920743E-3</v>
      </c>
      <c r="Y39" s="1334">
        <f t="shared" si="18"/>
        <v>2.8610587630632178E-2</v>
      </c>
      <c r="Z39" s="1334">
        <f t="shared" si="18"/>
        <v>-1.6357688113413316E-2</v>
      </c>
      <c r="AA39" s="1334">
        <f t="shared" si="18"/>
        <v>-1.8949181739879029E-3</v>
      </c>
      <c r="AB39" s="1334">
        <f t="shared" si="18"/>
        <v>1.6260162601633432E-4</v>
      </c>
      <c r="AC39" s="1334">
        <f t="shared" si="18"/>
        <v>5.4536011080332347E-2</v>
      </c>
      <c r="AD39" s="1334">
        <f t="shared" si="18"/>
        <v>4.3935411190386908E-2</v>
      </c>
      <c r="AE39" s="1334">
        <f t="shared" si="18"/>
        <v>-4.6908643494309454E-2</v>
      </c>
      <c r="AF39" s="1334">
        <f t="shared" si="18"/>
        <v>3.0000000000000027E-2</v>
      </c>
      <c r="AG39" s="1334">
        <f t="shared" si="18"/>
        <v>3.0000000000000027E-2</v>
      </c>
      <c r="AH39" s="2182"/>
      <c r="AI39" s="171"/>
    </row>
    <row r="40" spans="21:66" ht="15.6">
      <c r="U40" s="557"/>
      <c r="V40" s="1140" t="s">
        <v>909</v>
      </c>
      <c r="W40" s="1345">
        <f>W55+W55*W39</f>
        <v>45.131220800325003</v>
      </c>
      <c r="X40" s="1142">
        <f t="shared" ref="X40:AG40" si="19">X55+X55*X39</f>
        <v>58.563624138510669</v>
      </c>
      <c r="Y40" s="1142">
        <f t="shared" si="19"/>
        <v>62.74524584546856</v>
      </c>
      <c r="Z40" s="1142">
        <f t="shared" si="19"/>
        <v>57.051254089422031</v>
      </c>
      <c r="AA40" s="1142">
        <f t="shared" si="19"/>
        <v>52.89956933677864</v>
      </c>
      <c r="AB40" s="1142">
        <f t="shared" si="19"/>
        <v>61.009918699186997</v>
      </c>
      <c r="AC40" s="1142">
        <f t="shared" si="19"/>
        <v>57.999480609418278</v>
      </c>
      <c r="AD40" s="1142">
        <f t="shared" si="19"/>
        <v>55.328576793090505</v>
      </c>
      <c r="AE40" s="1142">
        <f t="shared" si="19"/>
        <v>53.373115964318671</v>
      </c>
      <c r="AF40" s="1142">
        <f t="shared" si="19"/>
        <v>63.86</v>
      </c>
      <c r="AG40" s="1142">
        <f t="shared" si="19"/>
        <v>60.77</v>
      </c>
      <c r="AH40" s="2183">
        <v>38.6</v>
      </c>
      <c r="AI40" s="171"/>
    </row>
    <row r="41" spans="21:66" ht="15.6">
      <c r="U41" s="557"/>
      <c r="V41" s="1138" t="s">
        <v>1010</v>
      </c>
      <c r="W41" s="1346">
        <f>W56</f>
        <v>46.629727594339634</v>
      </c>
      <c r="X41" s="1139">
        <f t="shared" ref="X41:AG41" si="20">X56</f>
        <v>51.933741745283008</v>
      </c>
      <c r="Y41" s="1139">
        <f t="shared" si="20"/>
        <v>53.491753997641496</v>
      </c>
      <c r="Z41" s="1139">
        <f t="shared" si="20"/>
        <v>55.096506617570739</v>
      </c>
      <c r="AA41" s="1139">
        <f t="shared" si="20"/>
        <v>56.749401816097858</v>
      </c>
      <c r="AB41" s="1139">
        <f t="shared" si="20"/>
        <v>58.451883870580794</v>
      </c>
      <c r="AC41" s="1139">
        <f t="shared" si="20"/>
        <v>55.01</v>
      </c>
      <c r="AD41" s="1139">
        <f t="shared" si="20"/>
        <v>62.01160359829916</v>
      </c>
      <c r="AE41" s="1139">
        <f t="shared" si="20"/>
        <v>63.871951706248133</v>
      </c>
      <c r="AF41" s="1139">
        <f t="shared" si="20"/>
        <v>65.788110257435577</v>
      </c>
      <c r="AG41" s="1139">
        <f t="shared" si="20"/>
        <v>67.761753565158642</v>
      </c>
      <c r="AH41" s="2184"/>
      <c r="AI41" s="171"/>
    </row>
    <row r="42" spans="21:66" ht="15.6">
      <c r="U42" s="557"/>
      <c r="V42" s="1140" t="s">
        <v>910</v>
      </c>
      <c r="W42" s="1345">
        <f>W57+W57*W39</f>
        <v>26.239081860654075</v>
      </c>
      <c r="X42" s="1142">
        <f t="shared" ref="X42:AG42" si="21">X57+X57*X39</f>
        <v>21.837283577071773</v>
      </c>
      <c r="Y42" s="1142">
        <f t="shared" si="21"/>
        <v>30.858317628918964</v>
      </c>
      <c r="Z42" s="1142">
        <f t="shared" si="21"/>
        <v>24.591057797164666</v>
      </c>
      <c r="AA42" s="1142">
        <f t="shared" si="21"/>
        <v>22.95641688199828</v>
      </c>
      <c r="AB42" s="1142">
        <f t="shared" si="21"/>
        <v>31.005040650406507</v>
      </c>
      <c r="AC42" s="1142">
        <f t="shared" si="21"/>
        <v>30.581544321329638</v>
      </c>
      <c r="AD42" s="1142">
        <f t="shared" si="21"/>
        <v>27.142320690950058</v>
      </c>
      <c r="AE42" s="1142">
        <f t="shared" si="21"/>
        <v>21.921101199630883</v>
      </c>
      <c r="AF42" s="1142">
        <f t="shared" si="21"/>
        <v>33.99</v>
      </c>
      <c r="AG42" s="1142">
        <f t="shared" si="21"/>
        <v>24.72</v>
      </c>
      <c r="AH42" s="2183">
        <v>22.4</v>
      </c>
      <c r="AI42" s="171"/>
    </row>
    <row r="43" spans="21:66" ht="16.2" thickBot="1">
      <c r="U43" s="557"/>
      <c r="V43" s="1357" t="s">
        <v>1010</v>
      </c>
      <c r="W43" s="1347">
        <f>W58</f>
        <v>38.714876649746188</v>
      </c>
      <c r="X43" s="1147">
        <f t="shared" ref="X43:AG43" si="22">X58</f>
        <v>38.873088832487319</v>
      </c>
      <c r="Y43" s="1147">
        <f t="shared" si="22"/>
        <v>40.039281497461936</v>
      </c>
      <c r="Z43" s="1147">
        <f t="shared" si="22"/>
        <v>41.24045994238579</v>
      </c>
      <c r="AA43" s="1147">
        <f t="shared" si="22"/>
        <v>42.477673740657366</v>
      </c>
      <c r="AB43" s="1147">
        <f t="shared" si="22"/>
        <v>43.752003952877089</v>
      </c>
      <c r="AC43" s="1147">
        <f t="shared" si="22"/>
        <v>29.1</v>
      </c>
      <c r="AD43" s="1147">
        <f t="shared" si="22"/>
        <v>46.416500993607301</v>
      </c>
      <c r="AE43" s="1147">
        <f t="shared" si="22"/>
        <v>47.808996023415517</v>
      </c>
      <c r="AF43" s="1147">
        <f t="shared" si="22"/>
        <v>49.243265904117983</v>
      </c>
      <c r="AG43" s="1147">
        <f t="shared" si="22"/>
        <v>50.720563881241524</v>
      </c>
      <c r="AH43" s="2185"/>
      <c r="AI43" s="171"/>
    </row>
    <row r="44" spans="21:66" ht="15" thickBot="1">
      <c r="U44" s="344"/>
      <c r="V44" s="852"/>
      <c r="W44" s="1132">
        <f>W34/W50-1</f>
        <v>3.9194831242616912E-2</v>
      </c>
      <c r="X44" s="1133">
        <f t="shared" ref="X44:AG44" si="23">IF((X34/X50-1)=-100%,"",X34/X50-1)</f>
        <v>-5.7583203938104122E-3</v>
      </c>
      <c r="Y44" s="1133">
        <f t="shared" si="23"/>
        <v>2.3048989337986381E-2</v>
      </c>
      <c r="Z44" s="1133">
        <f t="shared" si="23"/>
        <v>-1.2501664154940806E-2</v>
      </c>
      <c r="AA44" s="1133">
        <f t="shared" si="23"/>
        <v>-1.490460821741979E-3</v>
      </c>
      <c r="AB44" s="1133">
        <f t="shared" si="23"/>
        <v>1.3109589223980755E-4</v>
      </c>
      <c r="AC44" s="1133">
        <f t="shared" si="23"/>
        <v>4.3852578221597938E-2</v>
      </c>
      <c r="AD44" s="1133">
        <f t="shared" si="23"/>
        <v>3.5527041904926726E-2</v>
      </c>
      <c r="AE44" s="1133">
        <f t="shared" si="23"/>
        <v>-3.6576343165166225E-2</v>
      </c>
      <c r="AF44" s="1133">
        <f t="shared" si="23"/>
        <v>2.4197660039950719E-2</v>
      </c>
      <c r="AG44" s="1133">
        <f t="shared" si="23"/>
        <v>3.4209525749397507E-2</v>
      </c>
      <c r="AH44" s="2186">
        <f>IF((AH34/AH50-1)=-100%,"",AH34/AH50-1)</f>
        <v>-6.1759925702343788E-3</v>
      </c>
      <c r="AI44" s="171"/>
    </row>
    <row r="45" spans="21:66" ht="15" thickBot="1">
      <c r="U45" s="344"/>
      <c r="V45" s="1094"/>
      <c r="W45" s="1094"/>
      <c r="X45" s="1094"/>
      <c r="Y45" s="1094"/>
      <c r="Z45" s="1094"/>
      <c r="AA45" s="1094"/>
      <c r="AB45" s="1094"/>
      <c r="AC45" s="1094"/>
      <c r="AD45" s="1094"/>
      <c r="AE45" s="1094"/>
      <c r="AF45" s="1094"/>
      <c r="AG45" s="1094"/>
      <c r="AH45" s="1094"/>
      <c r="AW45" s="153"/>
      <c r="AX45" s="153"/>
      <c r="AY45" s="153"/>
      <c r="AZ45" s="153"/>
      <c r="BA45" s="153"/>
      <c r="BB45" s="153"/>
      <c r="BC45" s="153"/>
      <c r="BD45" s="153"/>
    </row>
    <row r="46" spans="21:66">
      <c r="V46" s="346"/>
      <c r="W46" s="1376" t="s">
        <v>1063</v>
      </c>
      <c r="X46" s="848"/>
      <c r="Y46" s="848" t="s">
        <v>33</v>
      </c>
      <c r="Z46" s="848"/>
      <c r="AA46" s="848"/>
      <c r="AB46" s="848"/>
      <c r="AC46" s="848"/>
      <c r="AD46" s="848"/>
      <c r="AE46" s="848"/>
      <c r="AF46" s="848"/>
      <c r="AG46" s="848"/>
      <c r="AH46" s="849"/>
    </row>
    <row r="47" spans="21:66">
      <c r="V47" s="559"/>
      <c r="W47" s="1377" t="s">
        <v>36</v>
      </c>
      <c r="X47" s="1078" t="s">
        <v>187</v>
      </c>
      <c r="Y47" s="1078" t="s">
        <v>546</v>
      </c>
      <c r="Z47" s="1078" t="s">
        <v>188</v>
      </c>
      <c r="AA47" s="1078" t="s">
        <v>189</v>
      </c>
      <c r="AB47" s="1078" t="s">
        <v>180</v>
      </c>
      <c r="AC47" s="1078" t="s">
        <v>42</v>
      </c>
      <c r="AD47" s="1078" t="s">
        <v>43</v>
      </c>
      <c r="AE47" s="1078" t="s">
        <v>44</v>
      </c>
      <c r="AF47" s="1078" t="s">
        <v>45</v>
      </c>
      <c r="AG47" s="1078" t="s">
        <v>46</v>
      </c>
      <c r="AH47" s="1079" t="s">
        <v>47</v>
      </c>
    </row>
    <row r="48" spans="21:66" ht="15" thickBot="1">
      <c r="V48" s="559"/>
      <c r="W48" s="1378" t="s">
        <v>855</v>
      </c>
      <c r="X48" s="1101"/>
      <c r="Y48" s="1101"/>
      <c r="Z48" s="1101"/>
      <c r="AA48" s="1101"/>
      <c r="AB48" s="1101"/>
      <c r="AC48" s="1379"/>
      <c r="AD48" s="1101"/>
      <c r="AE48" s="1101"/>
      <c r="AF48" s="1101"/>
      <c r="AG48" s="1102" t="s">
        <v>576</v>
      </c>
      <c r="AH48" s="1351" t="s">
        <v>576</v>
      </c>
    </row>
    <row r="49" spans="21:34" ht="16.2" thickBot="1">
      <c r="V49" s="1086" t="s">
        <v>1009</v>
      </c>
      <c r="W49" s="1363">
        <v>46.618800113787223</v>
      </c>
      <c r="X49" s="1100">
        <v>51.312205196282946</v>
      </c>
      <c r="Y49" s="1100">
        <v>51.808999999999997</v>
      </c>
      <c r="Z49" s="1100">
        <v>49.542999999999999</v>
      </c>
      <c r="AA49" s="1100">
        <v>46.179853508282172</v>
      </c>
      <c r="AB49" s="1100">
        <v>50.758921421924441</v>
      </c>
      <c r="AC49" s="1100">
        <v>51</v>
      </c>
      <c r="AD49" s="1100">
        <v>47.870106320491338</v>
      </c>
      <c r="AE49" s="1100">
        <v>50.718187442769405</v>
      </c>
      <c r="AF49" s="1100">
        <v>62.636029441860465</v>
      </c>
      <c r="AG49" s="1104">
        <v>51.379586424716173</v>
      </c>
      <c r="AH49" s="1105">
        <v>42.539779832495817</v>
      </c>
    </row>
    <row r="50" spans="21:34" ht="16.2" thickBot="1">
      <c r="V50" s="1143" t="s">
        <v>858</v>
      </c>
      <c r="W50" s="1380">
        <f t="shared" ref="W50:AH50" si="24">AVERAGE(W51,W55,W57)</f>
        <v>39.038333333333334</v>
      </c>
      <c r="X50" s="1144">
        <f t="shared" si="24"/>
        <v>47.414999999999999</v>
      </c>
      <c r="Y50" s="1144">
        <f t="shared" si="24"/>
        <v>49.728333333333332</v>
      </c>
      <c r="Z50" s="1144">
        <f t="shared" si="24"/>
        <v>50.198333333333331</v>
      </c>
      <c r="AA50" s="1144">
        <f t="shared" si="24"/>
        <v>44.508333333333333</v>
      </c>
      <c r="AB50" s="1144">
        <f t="shared" si="24"/>
        <v>50.75</v>
      </c>
      <c r="AC50" s="1144">
        <f t="shared" si="24"/>
        <v>46.793333333333329</v>
      </c>
      <c r="AD50" s="1144">
        <f t="shared" si="24"/>
        <v>43.543333333333329</v>
      </c>
      <c r="AE50" s="1144">
        <f t="shared" si="24"/>
        <v>47.669999999999995</v>
      </c>
      <c r="AF50" s="1144">
        <f t="shared" si="24"/>
        <v>52.564999999999998</v>
      </c>
      <c r="AG50" s="1145">
        <f t="shared" si="24"/>
        <v>49.094999999999999</v>
      </c>
      <c r="AH50" s="1146">
        <f t="shared" si="24"/>
        <v>35.891666666666666</v>
      </c>
    </row>
    <row r="51" spans="21:34">
      <c r="V51" s="1134" t="s">
        <v>913</v>
      </c>
      <c r="W51" s="1135">
        <f t="shared" ref="W51:AH51" si="25">AVERAGE(W52:W53)</f>
        <v>49.114999999999995</v>
      </c>
      <c r="X51" s="1135">
        <f t="shared" si="25"/>
        <v>61.245000000000005</v>
      </c>
      <c r="Y51" s="1135">
        <f t="shared" si="25"/>
        <v>58.185000000000002</v>
      </c>
      <c r="Z51" s="1135">
        <f t="shared" si="25"/>
        <v>67.594999999999999</v>
      </c>
      <c r="AA51" s="1135">
        <f t="shared" si="25"/>
        <v>57.524999999999999</v>
      </c>
      <c r="AB51" s="1135">
        <f t="shared" si="25"/>
        <v>60.25</v>
      </c>
      <c r="AC51" s="1135">
        <f t="shared" si="25"/>
        <v>56.379999999999995</v>
      </c>
      <c r="AD51" s="1135">
        <f t="shared" si="25"/>
        <v>51.629999999999995</v>
      </c>
      <c r="AE51" s="1135">
        <f t="shared" si="25"/>
        <v>64.009999999999991</v>
      </c>
      <c r="AF51" s="1135">
        <f t="shared" si="25"/>
        <v>62.695</v>
      </c>
      <c r="AG51" s="1135">
        <f t="shared" si="25"/>
        <v>64.284999999999997</v>
      </c>
      <c r="AH51" s="1136">
        <f t="shared" si="25"/>
        <v>48.674999999999997</v>
      </c>
    </row>
    <row r="52" spans="21:34" ht="15.6">
      <c r="U52" s="681"/>
      <c r="V52" s="1087" t="s">
        <v>907</v>
      </c>
      <c r="W52" s="1099">
        <v>49</v>
      </c>
      <c r="X52" s="1099">
        <v>63</v>
      </c>
      <c r="Y52" s="1099">
        <v>58</v>
      </c>
      <c r="Z52" s="1099">
        <v>71</v>
      </c>
      <c r="AA52" s="1099">
        <v>57</v>
      </c>
      <c r="AB52" s="1099">
        <v>59</v>
      </c>
      <c r="AC52" s="1099">
        <v>55</v>
      </c>
      <c r="AD52" s="1099">
        <v>50</v>
      </c>
      <c r="AE52" s="1099">
        <v>63</v>
      </c>
      <c r="AF52" s="1099">
        <v>61</v>
      </c>
      <c r="AG52" s="1099">
        <v>62</v>
      </c>
      <c r="AH52" s="1337">
        <v>52</v>
      </c>
    </row>
    <row r="53" spans="21:34" ht="15.6">
      <c r="U53" s="681"/>
      <c r="V53" s="1088" t="s">
        <v>908</v>
      </c>
      <c r="W53" s="1089">
        <v>49.23</v>
      </c>
      <c r="X53" s="1089">
        <v>59.49</v>
      </c>
      <c r="Y53" s="1090">
        <v>58.37</v>
      </c>
      <c r="Z53" s="1090">
        <v>64.19</v>
      </c>
      <c r="AA53" s="1090">
        <v>58.05</v>
      </c>
      <c r="AB53" s="1090">
        <v>61.5</v>
      </c>
      <c r="AC53" s="1090">
        <v>57.76</v>
      </c>
      <c r="AD53" s="1090">
        <v>53.26</v>
      </c>
      <c r="AE53" s="1090">
        <v>65.02</v>
      </c>
      <c r="AF53" s="1090">
        <v>64.39</v>
      </c>
      <c r="AG53" s="1090">
        <v>66.569999999999993</v>
      </c>
      <c r="AH53" s="1327">
        <v>45.35</v>
      </c>
    </row>
    <row r="54" spans="21:34">
      <c r="V54" s="1091" t="s">
        <v>899</v>
      </c>
      <c r="W54" s="1092"/>
      <c r="X54" s="1093">
        <f t="shared" ref="X54:AH54" si="26">IF((X53/X68-1)=-100%,"",X53/X68-1)</f>
        <v>4.3501140150850715E-2</v>
      </c>
      <c r="Y54" s="1093">
        <f t="shared" si="26"/>
        <v>-1.1180755548026444E-2</v>
      </c>
      <c r="Z54" s="1093">
        <f t="shared" si="26"/>
        <v>0.17392099487929769</v>
      </c>
      <c r="AA54" s="1093">
        <f t="shared" si="26"/>
        <v>8.2013047530288929E-2</v>
      </c>
      <c r="AB54" s="1093">
        <f t="shared" si="26"/>
        <v>4.2019654354455982E-2</v>
      </c>
      <c r="AC54" s="1093">
        <f t="shared" si="26"/>
        <v>1.7797356828193722E-2</v>
      </c>
      <c r="AD54" s="1093">
        <f t="shared" si="26"/>
        <v>-8.7474409082448634E-3</v>
      </c>
      <c r="AE54" s="1093">
        <f t="shared" si="26"/>
        <v>0.14110214110214114</v>
      </c>
      <c r="AF54" s="1093">
        <f t="shared" si="26"/>
        <v>0.11401384083044985</v>
      </c>
      <c r="AG54" s="1093">
        <f t="shared" si="26"/>
        <v>3.7077426390403456E-2</v>
      </c>
      <c r="AH54" s="1137">
        <f t="shared" si="26"/>
        <v>-3.0775994724114852E-3</v>
      </c>
    </row>
    <row r="55" spans="21:34" ht="15.6">
      <c r="V55" s="1140" t="s">
        <v>909</v>
      </c>
      <c r="W55" s="1141">
        <v>43</v>
      </c>
      <c r="X55" s="1141">
        <v>59</v>
      </c>
      <c r="Y55" s="1141">
        <v>61</v>
      </c>
      <c r="Z55" s="1141">
        <v>58</v>
      </c>
      <c r="AA55" s="1141">
        <v>53</v>
      </c>
      <c r="AB55" s="1141">
        <v>61</v>
      </c>
      <c r="AC55" s="1141">
        <v>55</v>
      </c>
      <c r="AD55" s="1141">
        <v>53</v>
      </c>
      <c r="AE55" s="1141">
        <v>56</v>
      </c>
      <c r="AF55" s="1141">
        <v>62</v>
      </c>
      <c r="AG55" s="1141">
        <v>59</v>
      </c>
      <c r="AH55" s="1338">
        <v>40</v>
      </c>
    </row>
    <row r="56" spans="21:34" ht="15.6">
      <c r="V56" s="1138" t="s">
        <v>1010</v>
      </c>
      <c r="W56" s="1355">
        <v>46.629727594339634</v>
      </c>
      <c r="X56" s="1355">
        <v>51.933741745283008</v>
      </c>
      <c r="Y56" s="1355">
        <v>53.491753997641496</v>
      </c>
      <c r="Z56" s="1355">
        <v>55.096506617570739</v>
      </c>
      <c r="AA56" s="1355">
        <v>56.749401816097858</v>
      </c>
      <c r="AB56" s="1355">
        <v>58.451883870580794</v>
      </c>
      <c r="AC56" s="1355">
        <v>55.01</v>
      </c>
      <c r="AD56" s="1355">
        <v>62.01160359829916</v>
      </c>
      <c r="AE56" s="1355">
        <v>63.871951706248133</v>
      </c>
      <c r="AF56" s="1355">
        <v>65.788110257435577</v>
      </c>
      <c r="AG56" s="1355">
        <v>67.761753565158642</v>
      </c>
      <c r="AH56" s="1356">
        <v>69.794606172113404</v>
      </c>
    </row>
    <row r="57" spans="21:34" ht="15.6">
      <c r="V57" s="1140" t="s">
        <v>910</v>
      </c>
      <c r="W57" s="1141">
        <v>25</v>
      </c>
      <c r="X57" s="1141">
        <v>22</v>
      </c>
      <c r="Y57" s="1141">
        <v>30</v>
      </c>
      <c r="Z57" s="1141">
        <v>25</v>
      </c>
      <c r="AA57" s="1141">
        <v>23</v>
      </c>
      <c r="AB57" s="1141">
        <v>31</v>
      </c>
      <c r="AC57" s="1141">
        <v>29</v>
      </c>
      <c r="AD57" s="1141">
        <v>26</v>
      </c>
      <c r="AE57" s="1141">
        <v>23</v>
      </c>
      <c r="AF57" s="1141">
        <v>33</v>
      </c>
      <c r="AG57" s="1141">
        <v>24</v>
      </c>
      <c r="AH57" s="1338">
        <v>19</v>
      </c>
    </row>
    <row r="58" spans="21:34" ht="16.2" thickBot="1">
      <c r="U58" s="720" t="s">
        <v>1065</v>
      </c>
      <c r="V58" s="1138" t="s">
        <v>1010</v>
      </c>
      <c r="W58" s="1360">
        <v>38.714876649746188</v>
      </c>
      <c r="X58" s="1360">
        <v>38.873088832487319</v>
      </c>
      <c r="Y58" s="1360">
        <v>40.039281497461936</v>
      </c>
      <c r="Z58" s="1360">
        <v>41.24045994238579</v>
      </c>
      <c r="AA58" s="1360">
        <v>42.477673740657366</v>
      </c>
      <c r="AB58" s="1360">
        <v>43.752003952877089</v>
      </c>
      <c r="AC58" s="1360">
        <v>29.1</v>
      </c>
      <c r="AD58" s="1360">
        <v>46.416500993607301</v>
      </c>
      <c r="AE58" s="1360">
        <v>47.808996023415517</v>
      </c>
      <c r="AF58" s="1360">
        <v>49.243265904117983</v>
      </c>
      <c r="AG58" s="1360">
        <v>50.720563881241524</v>
      </c>
      <c r="AH58" s="1361">
        <v>52.24218079767877</v>
      </c>
    </row>
    <row r="59" spans="21:34" ht="15" thickBot="1">
      <c r="V59" s="852"/>
      <c r="W59" s="1132">
        <f>W50/W65-1</f>
        <v>-0.1374835209145242</v>
      </c>
      <c r="X59" s="1133">
        <f t="shared" ref="X59:AH59" si="27">IF((X50/X65-1)=-100%,"",X50/X65-1)</f>
        <v>-4.8229367395463574E-2</v>
      </c>
      <c r="Y59" s="1133">
        <f t="shared" si="27"/>
        <v>-1.1365142478462542E-2</v>
      </c>
      <c r="Z59" s="1133">
        <f t="shared" si="27"/>
        <v>4.3624393624393631E-2</v>
      </c>
      <c r="AA59" s="1133">
        <f t="shared" si="27"/>
        <v>4.0522111825443297E-2</v>
      </c>
      <c r="AB59" s="1133">
        <f t="shared" si="27"/>
        <v>9.9198613818497039E-2</v>
      </c>
      <c r="AC59" s="1133">
        <f t="shared" si="27"/>
        <v>5.648165569143937E-2</v>
      </c>
      <c r="AD59" s="1133">
        <f t="shared" si="27"/>
        <v>-3.1401772142513051E-2</v>
      </c>
      <c r="AE59" s="1133">
        <f t="shared" si="27"/>
        <v>7.1316203460933147E-2</v>
      </c>
      <c r="AF59" s="1133">
        <f t="shared" si="27"/>
        <v>0.13941473988439301</v>
      </c>
      <c r="AG59" s="1133">
        <f t="shared" si="27"/>
        <v>-4.7284841036256076E-2</v>
      </c>
      <c r="AH59" s="1133">
        <f t="shared" si="27"/>
        <v>-6.5686146904420983E-2</v>
      </c>
    </row>
    <row r="60" spans="21:34" ht="15" thickBot="1">
      <c r="V60" s="1094"/>
      <c r="W60" s="1094"/>
      <c r="X60" s="1094"/>
      <c r="Y60" s="1094"/>
      <c r="Z60" s="1094"/>
      <c r="AA60" s="1094"/>
      <c r="AB60" s="1094"/>
      <c r="AC60" s="1094"/>
      <c r="AD60" s="1094"/>
      <c r="AE60" s="1094"/>
      <c r="AF60" s="1094"/>
      <c r="AG60" s="1094"/>
      <c r="AH60" s="1094"/>
    </row>
    <row r="61" spans="21:34">
      <c r="U61" s="720" t="s">
        <v>1065</v>
      </c>
      <c r="V61" s="346"/>
      <c r="W61" s="558" t="s">
        <v>577</v>
      </c>
      <c r="X61" s="333"/>
      <c r="Y61" s="333" t="s">
        <v>33</v>
      </c>
      <c r="Z61" s="333"/>
      <c r="AA61" s="333"/>
      <c r="AB61" s="333"/>
      <c r="AC61" s="333"/>
      <c r="AD61" s="333"/>
      <c r="AE61" s="333"/>
      <c r="AF61" s="333"/>
      <c r="AG61" s="333"/>
      <c r="AH61" s="334"/>
    </row>
    <row r="62" spans="21:34">
      <c r="V62" s="559"/>
      <c r="W62" s="338" t="s">
        <v>36</v>
      </c>
      <c r="X62" s="338" t="s">
        <v>187</v>
      </c>
      <c r="Y62" s="338" t="s">
        <v>546</v>
      </c>
      <c r="Z62" s="338" t="s">
        <v>188</v>
      </c>
      <c r="AA62" s="338" t="s">
        <v>189</v>
      </c>
      <c r="AB62" s="338" t="s">
        <v>180</v>
      </c>
      <c r="AC62" s="338" t="s">
        <v>42</v>
      </c>
      <c r="AD62" s="338" t="s">
        <v>43</v>
      </c>
      <c r="AE62" s="338" t="s">
        <v>44</v>
      </c>
      <c r="AF62" s="338" t="s">
        <v>45</v>
      </c>
      <c r="AG62" s="338" t="s">
        <v>46</v>
      </c>
      <c r="AH62" s="339" t="s">
        <v>47</v>
      </c>
    </row>
    <row r="63" spans="21:34" ht="69.599999999999994" thickBot="1">
      <c r="U63" s="720" t="s">
        <v>1065</v>
      </c>
      <c r="V63" s="559"/>
      <c r="W63" s="1004" t="s">
        <v>598</v>
      </c>
      <c r="X63" s="1004" t="s">
        <v>727</v>
      </c>
      <c r="Y63" s="1004" t="s">
        <v>729</v>
      </c>
      <c r="Z63" s="1004" t="s">
        <v>729</v>
      </c>
      <c r="AA63" s="5664" t="s">
        <v>855</v>
      </c>
      <c r="AB63" s="5664"/>
      <c r="AC63" s="5664"/>
      <c r="AD63" s="5664"/>
      <c r="AE63" s="5664"/>
      <c r="AF63" s="5664"/>
      <c r="AG63" s="5664"/>
      <c r="AH63" s="5665"/>
    </row>
    <row r="64" spans="21:34" ht="16.2" thickBot="1">
      <c r="V64" s="1086"/>
      <c r="W64" s="1363"/>
      <c r="X64" s="1100"/>
      <c r="Y64" s="1100"/>
      <c r="Z64" s="1100"/>
      <c r="AA64" s="1100"/>
      <c r="AB64" s="1100"/>
      <c r="AC64" s="1100"/>
      <c r="AD64" s="1100"/>
      <c r="AE64" s="1100"/>
      <c r="AF64" s="1100"/>
      <c r="AG64" s="1100"/>
      <c r="AH64" s="1364"/>
    </row>
    <row r="65" spans="21:34" ht="16.2" thickBot="1">
      <c r="V65" s="1086" t="s">
        <v>858</v>
      </c>
      <c r="W65" s="1363">
        <v>45.260970984259437</v>
      </c>
      <c r="X65" s="1100">
        <v>49.817674947847522</v>
      </c>
      <c r="Y65" s="1100">
        <v>50.3</v>
      </c>
      <c r="Z65" s="1100">
        <v>48.1</v>
      </c>
      <c r="AA65" s="1100">
        <f t="shared" ref="AA65:AH65" si="28">AVERAGE(AA66,AA69,AA71)</f>
        <v>42.774999999999999</v>
      </c>
      <c r="AB65" s="1100">
        <f t="shared" si="28"/>
        <v>46.169999999999995</v>
      </c>
      <c r="AC65" s="1100">
        <f t="shared" si="28"/>
        <v>44.291666666666664</v>
      </c>
      <c r="AD65" s="1100">
        <f t="shared" si="28"/>
        <v>44.955000000000005</v>
      </c>
      <c r="AE65" s="1100">
        <f t="shared" si="28"/>
        <v>44.49666666666667</v>
      </c>
      <c r="AF65" s="1100">
        <f t="shared" si="28"/>
        <v>46.133333333333333</v>
      </c>
      <c r="AG65" s="1100">
        <f t="shared" si="28"/>
        <v>51.531666666666666</v>
      </c>
      <c r="AH65" s="1364">
        <f t="shared" si="28"/>
        <v>38.414999999999999</v>
      </c>
    </row>
    <row r="66" spans="21:34">
      <c r="V66" s="1106" t="s">
        <v>913</v>
      </c>
      <c r="W66" s="1365"/>
      <c r="X66" s="1107"/>
      <c r="Y66" s="1107"/>
      <c r="Z66" s="1107"/>
      <c r="AA66" s="1107">
        <f>AVERAGE(AA67:AA68)</f>
        <v>55.325000000000003</v>
      </c>
      <c r="AB66" s="1107">
        <f t="shared" ref="AB66:AH66" si="29">AVERAGE(AB67:AB68)</f>
        <v>57.510000000000005</v>
      </c>
      <c r="AC66" s="1107">
        <f t="shared" si="29"/>
        <v>55.875</v>
      </c>
      <c r="AD66" s="1107">
        <f t="shared" si="29"/>
        <v>48.864999999999995</v>
      </c>
      <c r="AE66" s="1107">
        <f t="shared" si="29"/>
        <v>57.489999999999995</v>
      </c>
      <c r="AF66" s="1107">
        <f t="shared" si="29"/>
        <v>56.4</v>
      </c>
      <c r="AG66" s="1107">
        <f t="shared" si="29"/>
        <v>66.594999999999999</v>
      </c>
      <c r="AH66" s="1366">
        <f t="shared" si="29"/>
        <v>48.245000000000005</v>
      </c>
    </row>
    <row r="67" spans="21:34" ht="15.6">
      <c r="V67" s="1087" t="s">
        <v>907</v>
      </c>
      <c r="W67" s="1367">
        <v>47</v>
      </c>
      <c r="X67" s="1099">
        <v>58</v>
      </c>
      <c r="Y67" s="1099">
        <v>63</v>
      </c>
      <c r="Z67" s="1099">
        <v>60</v>
      </c>
      <c r="AA67" s="1099">
        <v>57</v>
      </c>
      <c r="AB67" s="1099">
        <v>56</v>
      </c>
      <c r="AC67" s="1099">
        <v>55</v>
      </c>
      <c r="AD67" s="1099">
        <v>44</v>
      </c>
      <c r="AE67" s="1099">
        <v>58</v>
      </c>
      <c r="AF67" s="1099">
        <v>55</v>
      </c>
      <c r="AG67" s="1099">
        <v>69</v>
      </c>
      <c r="AH67" s="1337">
        <v>51</v>
      </c>
    </row>
    <row r="68" spans="21:34" ht="15.6">
      <c r="V68" s="1095" t="s">
        <v>900</v>
      </c>
      <c r="W68" s="1368">
        <v>49.83</v>
      </c>
      <c r="X68" s="1096">
        <v>57.01</v>
      </c>
      <c r="Y68" s="1090">
        <v>59.03</v>
      </c>
      <c r="Z68" s="1090">
        <v>54.68</v>
      </c>
      <c r="AA68" s="1090">
        <v>53.65</v>
      </c>
      <c r="AB68" s="1090">
        <v>59.02</v>
      </c>
      <c r="AC68" s="1090">
        <v>56.75</v>
      </c>
      <c r="AD68" s="1090">
        <v>53.73</v>
      </c>
      <c r="AE68" s="1090">
        <v>56.98</v>
      </c>
      <c r="AF68" s="1090">
        <v>57.8</v>
      </c>
      <c r="AG68" s="1090">
        <v>64.19</v>
      </c>
      <c r="AH68" s="1327">
        <v>45.49</v>
      </c>
    </row>
    <row r="69" spans="21:34" ht="15.6">
      <c r="V69" s="1140" t="s">
        <v>911</v>
      </c>
      <c r="W69" s="1369">
        <v>39</v>
      </c>
      <c r="X69" s="1141">
        <v>52</v>
      </c>
      <c r="Y69" s="1141">
        <v>55</v>
      </c>
      <c r="Z69" s="1141">
        <v>51</v>
      </c>
      <c r="AA69" s="1141">
        <v>48</v>
      </c>
      <c r="AB69" s="1141">
        <v>54</v>
      </c>
      <c r="AC69" s="1141">
        <v>48</v>
      </c>
      <c r="AD69" s="1141">
        <v>55</v>
      </c>
      <c r="AE69" s="1141">
        <v>48</v>
      </c>
      <c r="AF69" s="1141">
        <v>57</v>
      </c>
      <c r="AG69" s="1141">
        <v>58</v>
      </c>
      <c r="AH69" s="1338">
        <v>43</v>
      </c>
    </row>
    <row r="70" spans="21:34" ht="15.6">
      <c r="V70" s="1138" t="s">
        <v>1010</v>
      </c>
      <c r="W70" s="1370">
        <v>45.271580188679259</v>
      </c>
      <c r="X70" s="1148">
        <v>50.421108490566027</v>
      </c>
      <c r="Y70" s="1149">
        <v>51.933741745283008</v>
      </c>
      <c r="Z70" s="1149">
        <v>53.491753997641496</v>
      </c>
      <c r="AA70" s="1362">
        <v>55.096506617570739</v>
      </c>
      <c r="AB70" s="1362">
        <v>56.749401816097858</v>
      </c>
      <c r="AC70" s="1362">
        <v>58.451883870580794</v>
      </c>
      <c r="AD70" s="1362">
        <v>60.205440386698214</v>
      </c>
      <c r="AE70" s="1362">
        <v>62.01160359829916</v>
      </c>
      <c r="AF70" s="1362">
        <v>63.871951706248133</v>
      </c>
      <c r="AG70" s="1362">
        <v>65.788110257435577</v>
      </c>
      <c r="AH70" s="1371">
        <v>67.761753565158642</v>
      </c>
    </row>
    <row r="71" spans="21:34" ht="15.6">
      <c r="V71" s="1140" t="s">
        <v>912</v>
      </c>
      <c r="W71" s="1369">
        <v>26</v>
      </c>
      <c r="X71" s="1141">
        <v>27</v>
      </c>
      <c r="Y71" s="1141">
        <v>28</v>
      </c>
      <c r="Z71" s="1141">
        <v>32</v>
      </c>
      <c r="AA71" s="1141">
        <v>25</v>
      </c>
      <c r="AB71" s="1141">
        <v>27</v>
      </c>
      <c r="AC71" s="1141">
        <v>29</v>
      </c>
      <c r="AD71" s="1141">
        <v>31</v>
      </c>
      <c r="AE71" s="1141">
        <v>28</v>
      </c>
      <c r="AF71" s="1141">
        <v>25</v>
      </c>
      <c r="AG71" s="1141">
        <v>30</v>
      </c>
      <c r="AH71" s="1338">
        <v>24</v>
      </c>
    </row>
    <row r="72" spans="21:34" ht="16.2" thickBot="1">
      <c r="U72" s="681"/>
      <c r="V72" s="1138" t="s">
        <v>1010</v>
      </c>
      <c r="W72" s="1372">
        <v>37.58725888324873</v>
      </c>
      <c r="X72" s="1373">
        <v>37.740862944162444</v>
      </c>
      <c r="Y72" s="1374">
        <v>38.873088832487319</v>
      </c>
      <c r="Z72" s="1374">
        <v>40.039281497461936</v>
      </c>
      <c r="AA72" s="1374">
        <v>41.24045994238579</v>
      </c>
      <c r="AB72" s="1374">
        <v>42.477673740657366</v>
      </c>
      <c r="AC72" s="1374">
        <v>43.752003952877089</v>
      </c>
      <c r="AD72" s="1374">
        <v>45.064564071463401</v>
      </c>
      <c r="AE72" s="1374">
        <v>46.416500993607301</v>
      </c>
      <c r="AF72" s="1374">
        <v>47.808996023415517</v>
      </c>
      <c r="AG72" s="1374">
        <v>49.243265904117983</v>
      </c>
      <c r="AH72" s="1375">
        <v>50.720563881241524</v>
      </c>
    </row>
    <row r="73" spans="21:34" ht="15" thickBot="1">
      <c r="U73" s="720" t="s">
        <v>1065</v>
      </c>
      <c r="V73" s="852"/>
      <c r="W73" s="853">
        <f>W65/W78-1</f>
        <v>2.538205966935525E-2</v>
      </c>
      <c r="X73" s="854">
        <f t="shared" ref="X73:AH73" si="30">IF((X65/X78-1)=-100%,"",X65/X78-1)</f>
        <v>9.5278355054263963E-2</v>
      </c>
      <c r="Y73" s="854">
        <f t="shared" si="30"/>
        <v>9.3419422076916003E-2</v>
      </c>
      <c r="Z73" s="854">
        <f t="shared" si="30"/>
        <v>7.6163009310403984E-2</v>
      </c>
      <c r="AA73" s="854">
        <f t="shared" si="30"/>
        <v>-1.7320453563992366E-2</v>
      </c>
      <c r="AB73" s="854">
        <f t="shared" si="30"/>
        <v>-3.501194217962289E-2</v>
      </c>
      <c r="AC73" s="854">
        <f t="shared" si="30"/>
        <v>-3.6265025257740668E-2</v>
      </c>
      <c r="AD73" s="854">
        <f t="shared" si="30"/>
        <v>-3.7047509212532193E-3</v>
      </c>
      <c r="AE73" s="854">
        <f t="shared" si="30"/>
        <v>-6.9238944709239081E-2</v>
      </c>
      <c r="AF73" s="854">
        <f t="shared" si="30"/>
        <v>-0.2186150084950278</v>
      </c>
      <c r="AG73" s="854">
        <f t="shared" si="30"/>
        <v>6.4040195161393143E-2</v>
      </c>
      <c r="AH73" s="854">
        <f t="shared" si="30"/>
        <v>-4.1967926010092693E-2</v>
      </c>
    </row>
    <row r="74" spans="21:34" ht="15" thickBot="1">
      <c r="U74" s="681"/>
      <c r="V74" s="852"/>
      <c r="W74" s="855"/>
      <c r="X74" s="855"/>
      <c r="Y74" s="855"/>
      <c r="Z74" s="855"/>
      <c r="AA74" s="1097"/>
      <c r="AB74" s="1098"/>
      <c r="AC74" s="1098"/>
      <c r="AD74" s="855"/>
      <c r="AE74" s="855"/>
      <c r="AF74" s="855"/>
      <c r="AG74" s="855"/>
      <c r="AH74" s="855"/>
    </row>
    <row r="75" spans="21:34">
      <c r="U75" s="720" t="s">
        <v>1065</v>
      </c>
      <c r="V75" s="554"/>
      <c r="W75" s="547" t="s">
        <v>531</v>
      </c>
      <c r="X75" s="548"/>
      <c r="Y75" s="548" t="s">
        <v>33</v>
      </c>
      <c r="Z75" s="548"/>
      <c r="AA75" s="548"/>
      <c r="AB75" s="548"/>
      <c r="AC75" s="548"/>
      <c r="AD75" s="548"/>
      <c r="AE75" s="548"/>
      <c r="AF75" s="548"/>
      <c r="AG75" s="548"/>
      <c r="AH75" s="551"/>
    </row>
    <row r="76" spans="21:34">
      <c r="U76" s="681"/>
      <c r="V76" s="464"/>
      <c r="W76" s="549" t="s">
        <v>36</v>
      </c>
      <c r="X76" s="550" t="s">
        <v>187</v>
      </c>
      <c r="Y76" s="550" t="s">
        <v>546</v>
      </c>
      <c r="Z76" s="550" t="s">
        <v>188</v>
      </c>
      <c r="AA76" s="550" t="s">
        <v>189</v>
      </c>
      <c r="AB76" s="550" t="s">
        <v>180</v>
      </c>
      <c r="AC76" s="550" t="s">
        <v>42</v>
      </c>
      <c r="AD76" s="550" t="s">
        <v>43</v>
      </c>
      <c r="AE76" s="550" t="s">
        <v>44</v>
      </c>
      <c r="AF76" s="550" t="s">
        <v>45</v>
      </c>
      <c r="AG76" s="550" t="s">
        <v>46</v>
      </c>
      <c r="AH76" s="552" t="s">
        <v>47</v>
      </c>
    </row>
    <row r="77" spans="21:34" ht="15" thickBot="1">
      <c r="U77" s="720" t="s">
        <v>1065</v>
      </c>
      <c r="V77" s="465"/>
      <c r="W77" s="560"/>
      <c r="X77" s="560"/>
      <c r="Y77" s="560"/>
      <c r="Z77" s="560"/>
      <c r="AA77" s="560"/>
      <c r="AB77" s="560"/>
      <c r="AC77" s="560"/>
      <c r="AD77" s="560"/>
      <c r="AE77" s="560"/>
      <c r="AF77" s="5661" t="s">
        <v>580</v>
      </c>
      <c r="AG77" s="5661"/>
      <c r="AH77" s="5661"/>
    </row>
    <row r="78" spans="21:34" ht="15" thickBot="1">
      <c r="U78" s="681"/>
      <c r="V78" s="553" t="s">
        <v>151</v>
      </c>
      <c r="W78" s="856">
        <v>44.140591848129553</v>
      </c>
      <c r="X78" s="856">
        <v>45.484031267448337</v>
      </c>
      <c r="Y78" s="856">
        <v>46.00247533966126</v>
      </c>
      <c r="Z78" s="857">
        <v>44.69583100688628</v>
      </c>
      <c r="AA78" s="857">
        <v>43.528941001302826</v>
      </c>
      <c r="AB78" s="856">
        <v>47.845151684347663</v>
      </c>
      <c r="AC78" s="856">
        <v>45.958347292015631</v>
      </c>
      <c r="AD78" s="856">
        <v>45.12216638749301</v>
      </c>
      <c r="AE78" s="856">
        <v>47.806756002233392</v>
      </c>
      <c r="AF78" s="858">
        <v>59.040465116279073</v>
      </c>
      <c r="AG78" s="856">
        <v>48.430187976921644</v>
      </c>
      <c r="AH78" s="859">
        <v>40.097822445561143</v>
      </c>
    </row>
    <row r="79" spans="21:34">
      <c r="V79" s="555" t="s">
        <v>144</v>
      </c>
      <c r="W79" s="860">
        <v>51.558406561218504</v>
      </c>
      <c r="X79" s="860">
        <v>55.830990041007617</v>
      </c>
      <c r="Y79" s="860">
        <v>54.512829525483305</v>
      </c>
      <c r="Z79" s="860">
        <v>57.521675454012886</v>
      </c>
      <c r="AA79" s="860">
        <v>57.359988283538371</v>
      </c>
      <c r="AB79" s="860">
        <v>60.261921499707086</v>
      </c>
      <c r="AC79" s="860">
        <v>53.324956063268885</v>
      </c>
      <c r="AD79" s="860">
        <v>50.747275922671356</v>
      </c>
      <c r="AE79" s="860">
        <v>57.149326303456355</v>
      </c>
      <c r="AF79" s="860">
        <v>70.874985354422961</v>
      </c>
      <c r="AG79" s="860">
        <v>62.512536613942586</v>
      </c>
      <c r="AH79" s="861">
        <v>43.413708260105452</v>
      </c>
    </row>
    <row r="80" spans="21:34">
      <c r="V80" s="555" t="s">
        <v>145</v>
      </c>
      <c r="W80" s="860">
        <v>43.926650943396218</v>
      </c>
      <c r="X80" s="860">
        <v>44.932134433962268</v>
      </c>
      <c r="Y80" s="860">
        <v>46.1502358490566</v>
      </c>
      <c r="Z80" s="860">
        <v>45.307488207547166</v>
      </c>
      <c r="AA80" s="860">
        <v>43.315271226415092</v>
      </c>
      <c r="AB80" s="860">
        <v>50.526709905660375</v>
      </c>
      <c r="AC80" s="860">
        <v>51.207429245283016</v>
      </c>
      <c r="AD80" s="860">
        <v>51.081014150943389</v>
      </c>
      <c r="AE80" s="860">
        <v>48.948761792452828</v>
      </c>
      <c r="AF80" s="860">
        <v>62.996937573616016</v>
      </c>
      <c r="AG80" s="860">
        <v>48.532783018867924</v>
      </c>
      <c r="AH80" s="861">
        <v>42.145990566037732</v>
      </c>
    </row>
    <row r="81" spans="22:34" ht="15" thickBot="1">
      <c r="V81" s="556" t="s">
        <v>566</v>
      </c>
      <c r="W81" s="862">
        <v>37.897258883248718</v>
      </c>
      <c r="X81" s="862">
        <v>36.99355329949239</v>
      </c>
      <c r="Y81" s="862">
        <v>38.501065989847724</v>
      </c>
      <c r="Z81" s="862">
        <v>33.05568527918782</v>
      </c>
      <c r="AA81" s="862">
        <v>31.728324873096447</v>
      </c>
      <c r="AB81" s="862">
        <v>34.777461928934009</v>
      </c>
      <c r="AC81" s="862">
        <v>35.056192893401018</v>
      </c>
      <c r="AD81" s="862">
        <v>35.117969543147211</v>
      </c>
      <c r="AE81" s="862">
        <v>38.728274111675127</v>
      </c>
      <c r="AF81" s="862">
        <v>45.375685279187806</v>
      </c>
      <c r="AG81" s="862">
        <v>36.139543147208123</v>
      </c>
      <c r="AH81" s="863">
        <v>35.461319796954314</v>
      </c>
    </row>
    <row r="82" spans="22:34" ht="15" thickBot="1">
      <c r="V82" s="864"/>
      <c r="W82" s="865">
        <f t="shared" ref="W82:AH82" si="31">W78/W94-1</f>
        <v>-0.17327766995714788</v>
      </c>
      <c r="X82" s="866">
        <f t="shared" si="31"/>
        <v>-0.29142710384735693</v>
      </c>
      <c r="Y82" s="866">
        <f t="shared" si="31"/>
        <v>-0.23201209783537124</v>
      </c>
      <c r="Z82" s="866">
        <f t="shared" si="31"/>
        <v>-0.2343940557602413</v>
      </c>
      <c r="AA82" s="866">
        <f t="shared" si="31"/>
        <v>-0.29050188469512439</v>
      </c>
      <c r="AB82" s="866">
        <f t="shared" si="31"/>
        <v>-0.22832383997511552</v>
      </c>
      <c r="AC82" s="866">
        <f t="shared" si="31"/>
        <v>-0.25513213465128637</v>
      </c>
      <c r="AD82" s="866">
        <f t="shared" si="31"/>
        <v>-0.27297261490921521</v>
      </c>
      <c r="AE82" s="866">
        <f t="shared" si="31"/>
        <v>-0.23174217742631897</v>
      </c>
      <c r="AF82" s="866">
        <f t="shared" si="31"/>
        <v>-6.3222977996115981E-2</v>
      </c>
      <c r="AG82" s="866">
        <f t="shared" si="31"/>
        <v>-0.27203195208006881</v>
      </c>
      <c r="AH82" s="866">
        <f t="shared" si="31"/>
        <v>-0.30860506510162089</v>
      </c>
    </row>
    <row r="83" spans="22:34">
      <c r="W83" s="166" t="s">
        <v>315</v>
      </c>
      <c r="X83" s="167"/>
      <c r="Y83" s="167" t="s">
        <v>33</v>
      </c>
      <c r="Z83" s="167"/>
      <c r="AA83" s="167"/>
      <c r="AB83" s="167"/>
      <c r="AC83" s="167"/>
      <c r="AD83" s="167"/>
      <c r="AE83" s="167"/>
      <c r="AF83" s="167"/>
      <c r="AG83" s="167"/>
      <c r="AH83" s="168"/>
    </row>
    <row r="84" spans="22:34" ht="15" thickBot="1">
      <c r="W84" s="466" t="s">
        <v>36</v>
      </c>
      <c r="X84" s="467" t="s">
        <v>37</v>
      </c>
      <c r="Y84" s="467" t="s">
        <v>38</v>
      </c>
      <c r="Z84" s="467" t="s">
        <v>39</v>
      </c>
      <c r="AA84" s="467" t="s">
        <v>40</v>
      </c>
      <c r="AB84" s="467" t="s">
        <v>41</v>
      </c>
      <c r="AC84" s="467" t="s">
        <v>42</v>
      </c>
      <c r="AD84" s="467" t="s">
        <v>43</v>
      </c>
      <c r="AE84" s="467" t="s">
        <v>44</v>
      </c>
      <c r="AF84" s="467" t="s">
        <v>45</v>
      </c>
      <c r="AG84" s="467" t="s">
        <v>46</v>
      </c>
      <c r="AH84" s="467" t="s">
        <v>47</v>
      </c>
    </row>
    <row r="85" spans="22:34" ht="15" thickBot="1">
      <c r="V85" s="335" t="s">
        <v>151</v>
      </c>
      <c r="W85" s="867">
        <v>51.627660052414825</v>
      </c>
      <c r="X85" s="868">
        <v>51.647940846125053</v>
      </c>
      <c r="Y85" s="869">
        <v>57.482497192062887</v>
      </c>
      <c r="Z85" s="869">
        <v>53.048152377386764</v>
      </c>
      <c r="AA85" s="869">
        <v>54.241388992886556</v>
      </c>
      <c r="AB85" s="868">
        <v>55.588920082350739</v>
      </c>
      <c r="AC85" s="869">
        <v>54.83994010855325</v>
      </c>
      <c r="AD85" s="870">
        <v>48.290715777482454</v>
      </c>
      <c r="AE85" s="870">
        <v>50.944218720334156</v>
      </c>
      <c r="AF85" s="869">
        <v>54.332618188722243</v>
      </c>
      <c r="AG85" s="869">
        <v>55.251518602885348</v>
      </c>
      <c r="AH85" s="869">
        <v>44.372454976303317</v>
      </c>
    </row>
    <row r="86" spans="22:34">
      <c r="V86" s="336" t="s">
        <v>144</v>
      </c>
      <c r="W86" s="871">
        <v>63.923164713140032</v>
      </c>
      <c r="X86" s="872">
        <v>69.016594694632943</v>
      </c>
      <c r="Y86" s="873">
        <v>71.136952498457745</v>
      </c>
      <c r="Z86" s="873">
        <v>64.16826650215917</v>
      </c>
      <c r="AA86" s="873">
        <v>68.897038864898207</v>
      </c>
      <c r="AB86" s="872">
        <v>66.700678593460822</v>
      </c>
      <c r="AC86" s="874">
        <v>65.777606415792718</v>
      </c>
      <c r="AD86" s="874">
        <v>57.994040968342652</v>
      </c>
      <c r="AE86" s="874">
        <v>58.905462445685906</v>
      </c>
      <c r="AF86" s="874">
        <v>68.051769087523269</v>
      </c>
      <c r="AG86" s="874">
        <v>72.682805710738677</v>
      </c>
      <c r="AH86" s="874">
        <v>51.006587942821618</v>
      </c>
    </row>
    <row r="87" spans="22:34">
      <c r="V87" s="336" t="s">
        <v>145</v>
      </c>
      <c r="W87" s="871">
        <v>53.596954545454537</v>
      </c>
      <c r="X87" s="872">
        <v>50.203693181818188</v>
      </c>
      <c r="Y87" s="873">
        <v>60.320170454545455</v>
      </c>
      <c r="Z87" s="873">
        <v>55.937823863636353</v>
      </c>
      <c r="AA87" s="873">
        <v>55.730965909090912</v>
      </c>
      <c r="AB87" s="872">
        <v>60.893838326738269</v>
      </c>
      <c r="AC87" s="874">
        <v>62.101921989824746</v>
      </c>
      <c r="AD87" s="874">
        <v>52.804610951008648</v>
      </c>
      <c r="AE87" s="874">
        <v>54.020057636887607</v>
      </c>
      <c r="AF87" s="874">
        <v>56.422363112391928</v>
      </c>
      <c r="AG87" s="874">
        <v>55.888888888888886</v>
      </c>
      <c r="AH87" s="874">
        <v>46.219026047565109</v>
      </c>
    </row>
    <row r="88" spans="22:34" ht="15" thickBot="1">
      <c r="V88" s="468" t="s">
        <v>566</v>
      </c>
      <c r="W88" s="875">
        <v>39.696517083120852</v>
      </c>
      <c r="X88" s="876">
        <v>38.586894441611427</v>
      </c>
      <c r="Y88" s="877">
        <v>43.64864864864866</v>
      </c>
      <c r="Z88" s="877">
        <v>41.262570117287098</v>
      </c>
      <c r="AA88" s="877">
        <v>40.789852116267213</v>
      </c>
      <c r="AB88" s="876">
        <v>41.560983102918584</v>
      </c>
      <c r="AC88" s="878">
        <v>39.183819764464921</v>
      </c>
      <c r="AD88" s="878">
        <v>36.076418532014564</v>
      </c>
      <c r="AE88" s="878">
        <v>41.489692868297759</v>
      </c>
      <c r="AF88" s="878">
        <v>40.939979177511702</v>
      </c>
      <c r="AG88" s="878">
        <v>39.823032223983098</v>
      </c>
      <c r="AH88" s="878">
        <v>37.038052631578942</v>
      </c>
    </row>
    <row r="89" spans="22:34" ht="15" thickBot="1">
      <c r="V89" s="879"/>
      <c r="W89" s="865">
        <f t="shared" ref="W89:AH89" si="32">W85/W101-1</f>
        <v>-1.8790759984439354E-2</v>
      </c>
      <c r="X89" s="866">
        <f t="shared" si="32"/>
        <v>-0.11925039936124726</v>
      </c>
      <c r="Y89" s="866">
        <f t="shared" si="32"/>
        <v>-7.9692211064975371E-2</v>
      </c>
      <c r="Z89" s="866">
        <f t="shared" si="32"/>
        <v>-9.2501792800918636E-2</v>
      </c>
      <c r="AA89" s="866">
        <f t="shared" si="32"/>
        <v>-9.7846498197794674E-2</v>
      </c>
      <c r="AB89" s="866">
        <f t="shared" si="32"/>
        <v>-0.12787335023390345</v>
      </c>
      <c r="AC89" s="866">
        <f t="shared" si="32"/>
        <v>-0.16538248179334591</v>
      </c>
      <c r="AD89" s="866">
        <f t="shared" si="32"/>
        <v>-0.24692790146461496</v>
      </c>
      <c r="AE89" s="866">
        <f t="shared" si="32"/>
        <v>-0.25421836470546555</v>
      </c>
      <c r="AF89" s="866">
        <f t="shared" si="32"/>
        <v>-0.15181671961766163</v>
      </c>
      <c r="AG89" s="866">
        <f t="shared" si="32"/>
        <v>-0.18058601020491949</v>
      </c>
      <c r="AH89" s="866">
        <f t="shared" si="32"/>
        <v>-0.13451746235589235</v>
      </c>
    </row>
    <row r="90" spans="22:34">
      <c r="V90" s="880"/>
      <c r="W90" s="181" t="s">
        <v>316</v>
      </c>
      <c r="X90" s="182"/>
      <c r="Y90" s="182" t="s">
        <v>33</v>
      </c>
      <c r="Z90" s="182"/>
      <c r="AA90" s="182"/>
      <c r="AB90" s="182"/>
      <c r="AC90" s="182"/>
      <c r="AD90" s="182"/>
      <c r="AE90" s="182"/>
      <c r="AF90" s="182"/>
      <c r="AG90" s="182"/>
      <c r="AH90" s="183"/>
    </row>
    <row r="91" spans="22:34" ht="15" thickBot="1">
      <c r="V91" s="880"/>
      <c r="W91" s="187" t="s">
        <v>36</v>
      </c>
      <c r="X91" s="188" t="s">
        <v>37</v>
      </c>
      <c r="Y91" s="188" t="s">
        <v>38</v>
      </c>
      <c r="Z91" s="188" t="s">
        <v>39</v>
      </c>
      <c r="AA91" s="188" t="s">
        <v>40</v>
      </c>
      <c r="AB91" s="188" t="s">
        <v>41</v>
      </c>
      <c r="AC91" s="188" t="s">
        <v>42</v>
      </c>
      <c r="AD91" s="188" t="s">
        <v>43</v>
      </c>
      <c r="AE91" s="188" t="s">
        <v>44</v>
      </c>
      <c r="AF91" s="188" t="s">
        <v>45</v>
      </c>
      <c r="AG91" s="188" t="s">
        <v>46</v>
      </c>
      <c r="AH91" s="189" t="s">
        <v>47</v>
      </c>
    </row>
    <row r="92" spans="22:34" ht="15" thickBot="1">
      <c r="V92" s="190" t="s">
        <v>151</v>
      </c>
      <c r="W92" s="881">
        <v>51.883923850303461</v>
      </c>
      <c r="X92" s="882">
        <v>60.943820524320813</v>
      </c>
      <c r="Y92" s="882">
        <v>57.5</v>
      </c>
      <c r="Z92" s="882">
        <v>54.264872468117026</v>
      </c>
      <c r="AA92" s="882">
        <v>55.715435108777179</v>
      </c>
      <c r="AB92" s="882">
        <v>56.167516879219804</v>
      </c>
      <c r="AC92" s="882">
        <v>57.6</v>
      </c>
      <c r="AD92" s="882">
        <v>55.727789236827292</v>
      </c>
      <c r="AE92" s="882">
        <v>60.140119872635324</v>
      </c>
      <c r="AF92" s="882">
        <v>58.802678404195518</v>
      </c>
      <c r="AG92" s="882">
        <v>63.233126169973787</v>
      </c>
      <c r="AH92" s="883">
        <v>50.994687383002628</v>
      </c>
    </row>
    <row r="93" spans="22:34">
      <c r="V93" s="191" t="s">
        <v>144</v>
      </c>
      <c r="W93" s="884">
        <v>63.479333746132014</v>
      </c>
      <c r="X93" s="885">
        <v>80.314179959259718</v>
      </c>
      <c r="Y93" s="885">
        <v>73.400000000000006</v>
      </c>
      <c r="Z93" s="885">
        <v>71.880259099321407</v>
      </c>
      <c r="AA93" s="885">
        <v>71.210055521283152</v>
      </c>
      <c r="AB93" s="885">
        <v>70.879333744602093</v>
      </c>
      <c r="AC93" s="885">
        <v>73.7</v>
      </c>
      <c r="AD93" s="885">
        <v>67.403269586674895</v>
      </c>
      <c r="AE93" s="885">
        <v>79.765638494756317</v>
      </c>
      <c r="AF93" s="885">
        <v>74.366440468846392</v>
      </c>
      <c r="AG93" s="885">
        <v>80.694768661320168</v>
      </c>
      <c r="AH93" s="886">
        <v>56.046434299814933</v>
      </c>
    </row>
    <row r="94" spans="22:34">
      <c r="V94" s="191" t="s">
        <v>145</v>
      </c>
      <c r="W94" s="887">
        <v>53.392282080782287</v>
      </c>
      <c r="X94" s="888">
        <v>64.191040208303448</v>
      </c>
      <c r="Y94" s="888">
        <v>59.9</v>
      </c>
      <c r="Z94" s="888">
        <v>58.379681274900399</v>
      </c>
      <c r="AA94" s="888">
        <v>61.351735913488902</v>
      </c>
      <c r="AB94" s="888">
        <v>62.00159362549801</v>
      </c>
      <c r="AC94" s="888">
        <v>61.7</v>
      </c>
      <c r="AD94" s="888">
        <v>62.063915765509371</v>
      </c>
      <c r="AE94" s="888">
        <v>62.227490039840639</v>
      </c>
      <c r="AF94" s="888">
        <v>63.025099601593645</v>
      </c>
      <c r="AG94" s="888">
        <v>66.527903409090911</v>
      </c>
      <c r="AH94" s="889">
        <v>57.995539772727291</v>
      </c>
    </row>
    <row r="95" spans="22:34" ht="15" thickBot="1">
      <c r="V95" s="192" t="s">
        <v>146</v>
      </c>
      <c r="W95" s="890">
        <v>41.007288296211755</v>
      </c>
      <c r="X95" s="891">
        <v>42.120784483927054</v>
      </c>
      <c r="Y95" s="891">
        <v>42.3</v>
      </c>
      <c r="Z95" s="891">
        <v>35.951535312180141</v>
      </c>
      <c r="AA95" s="891">
        <v>37.793346980552712</v>
      </c>
      <c r="AB95" s="891">
        <v>38.716990788126921</v>
      </c>
      <c r="AC95" s="891">
        <v>40.700000000000003</v>
      </c>
      <c r="AD95" s="891">
        <v>40.352583120204606</v>
      </c>
      <c r="AE95" s="891">
        <v>42.047067822539518</v>
      </c>
      <c r="AF95" s="891">
        <v>42.154207037225916</v>
      </c>
      <c r="AG95" s="891">
        <v>45.841932687404395</v>
      </c>
      <c r="AH95" s="892">
        <v>40.535543090260077</v>
      </c>
    </row>
    <row r="96" spans="22:34" ht="15" thickBot="1">
      <c r="V96" s="879"/>
      <c r="W96" s="864"/>
      <c r="X96" s="864"/>
      <c r="Y96" s="893"/>
      <c r="Z96" s="893"/>
      <c r="AA96" s="893"/>
      <c r="AB96" s="193"/>
      <c r="AC96" s="894"/>
      <c r="AD96" s="894"/>
      <c r="AE96" s="893"/>
      <c r="AF96" s="893"/>
      <c r="AG96" s="893"/>
      <c r="AH96" s="893"/>
    </row>
    <row r="97" spans="22:34">
      <c r="V97" s="880"/>
      <c r="W97" s="194" t="s">
        <v>317</v>
      </c>
      <c r="X97" s="195"/>
      <c r="Y97" s="195" t="s">
        <v>33</v>
      </c>
      <c r="Z97" s="195"/>
      <c r="AA97" s="195"/>
      <c r="AB97" s="195"/>
      <c r="AC97" s="195"/>
      <c r="AD97" s="195"/>
      <c r="AE97" s="195"/>
      <c r="AF97" s="195"/>
      <c r="AG97" s="195"/>
      <c r="AH97" s="196"/>
    </row>
    <row r="98" spans="22:34" ht="15" thickBot="1">
      <c r="V98" s="880"/>
      <c r="W98" s="197" t="s">
        <v>36</v>
      </c>
      <c r="X98" s="198" t="s">
        <v>37</v>
      </c>
      <c r="Y98" s="198" t="s">
        <v>38</v>
      </c>
      <c r="Z98" s="198" t="s">
        <v>39</v>
      </c>
      <c r="AA98" s="198" t="s">
        <v>40</v>
      </c>
      <c r="AB98" s="198" t="s">
        <v>41</v>
      </c>
      <c r="AC98" s="198" t="s">
        <v>42</v>
      </c>
      <c r="AD98" s="198" t="s">
        <v>43</v>
      </c>
      <c r="AE98" s="198" t="s">
        <v>44</v>
      </c>
      <c r="AF98" s="198" t="s">
        <v>45</v>
      </c>
      <c r="AG98" s="198" t="s">
        <v>46</v>
      </c>
      <c r="AH98" s="199" t="s">
        <v>47</v>
      </c>
    </row>
    <row r="99" spans="22:34" ht="15" thickBot="1">
      <c r="V99" s="200" t="s">
        <v>151</v>
      </c>
      <c r="W99" s="895">
        <v>51.517990776187105</v>
      </c>
      <c r="X99" s="896">
        <v>58.807323381825718</v>
      </c>
      <c r="Y99" s="896">
        <v>60.827928595939248</v>
      </c>
      <c r="Z99" s="896">
        <v>57.747390920923969</v>
      </c>
      <c r="AA99" s="896">
        <v>56.524014066944922</v>
      </c>
      <c r="AB99" s="896">
        <v>59.499559914305905</v>
      </c>
      <c r="AC99" s="896">
        <v>59.641522979405501</v>
      </c>
      <c r="AD99" s="896">
        <v>56.017138599275704</v>
      </c>
      <c r="AE99" s="896">
        <v>62.131768504782805</v>
      </c>
      <c r="AF99" s="896">
        <v>60.530743713386741</v>
      </c>
      <c r="AG99" s="896">
        <v>62.385742672503326</v>
      </c>
      <c r="AH99" s="897">
        <v>50.787822701019572</v>
      </c>
    </row>
    <row r="100" spans="22:34">
      <c r="V100" s="201" t="s">
        <v>144</v>
      </c>
      <c r="W100" s="898">
        <v>64.50418897062923</v>
      </c>
      <c r="X100" s="899">
        <v>79.534238123954339</v>
      </c>
      <c r="Y100" s="899">
        <v>80.095918488685996</v>
      </c>
      <c r="Z100" s="899">
        <v>74.86119678988895</v>
      </c>
      <c r="AA100" s="899">
        <v>71.329923784083903</v>
      </c>
      <c r="AB100" s="899">
        <v>75.899650422911776</v>
      </c>
      <c r="AC100" s="899">
        <v>74.261208733146219</v>
      </c>
      <c r="AD100" s="899">
        <v>64.583789377809993</v>
      </c>
      <c r="AE100" s="899">
        <v>76.216327368840211</v>
      </c>
      <c r="AF100" s="899">
        <v>74.382599350024662</v>
      </c>
      <c r="AG100" s="899">
        <v>77.569401601529918</v>
      </c>
      <c r="AH100" s="900">
        <v>63.75793516548427</v>
      </c>
    </row>
    <row r="101" spans="22:34">
      <c r="V101" s="201" t="s">
        <v>145</v>
      </c>
      <c r="W101" s="901">
        <v>52.616361472091398</v>
      </c>
      <c r="X101" s="902">
        <v>58.640890451347381</v>
      </c>
      <c r="Y101" s="902">
        <v>62.460078990074976</v>
      </c>
      <c r="Z101" s="902">
        <v>58.455379808534857</v>
      </c>
      <c r="AA101" s="902">
        <v>60.12434567346925</v>
      </c>
      <c r="AB101" s="902">
        <v>63.739504001236092</v>
      </c>
      <c r="AC101" s="902">
        <v>65.706672712056232</v>
      </c>
      <c r="AD101" s="902">
        <v>64.124956788866328</v>
      </c>
      <c r="AE101" s="902">
        <v>68.309832676711807</v>
      </c>
      <c r="AF101" s="902">
        <v>64.057638773816137</v>
      </c>
      <c r="AG101" s="902">
        <v>67.428087988469272</v>
      </c>
      <c r="AH101" s="903">
        <v>51.26903553373549</v>
      </c>
    </row>
    <row r="102" spans="22:34" ht="15" thickBot="1">
      <c r="V102" s="202" t="s">
        <v>146</v>
      </c>
      <c r="W102" s="904">
        <v>39.904238977251275</v>
      </c>
      <c r="X102" s="905">
        <v>41.93081487895644</v>
      </c>
      <c r="Y102" s="905">
        <v>43.594143216541021</v>
      </c>
      <c r="Z102" s="905">
        <v>43.08172914547113</v>
      </c>
      <c r="AA102" s="905">
        <v>41.252410366935145</v>
      </c>
      <c r="AB102" s="905">
        <v>42.365754812563331</v>
      </c>
      <c r="AC102" s="905">
        <v>42.391410922440727</v>
      </c>
      <c r="AD102" s="905">
        <v>41.700166683293816</v>
      </c>
      <c r="AE102" s="905">
        <v>45.016886186916913</v>
      </c>
      <c r="AF102" s="905">
        <v>45.988168774617016</v>
      </c>
      <c r="AG102" s="905">
        <v>45.388382303121588</v>
      </c>
      <c r="AH102" s="906">
        <v>39.704873026600808</v>
      </c>
    </row>
    <row r="103" spans="22:34">
      <c r="W103" s="893"/>
      <c r="X103" s="893"/>
      <c r="Y103" s="893"/>
      <c r="Z103" s="893"/>
      <c r="AA103" s="893"/>
      <c r="AB103" s="907"/>
      <c r="AC103" s="907"/>
      <c r="AD103" s="907"/>
      <c r="AE103" s="893"/>
      <c r="AF103" s="893"/>
      <c r="AG103" s="893"/>
      <c r="AH103" s="893"/>
    </row>
    <row r="104" spans="22:34" ht="15" thickBot="1"/>
    <row r="105" spans="22:34" ht="15" thickBot="1">
      <c r="W105" s="908"/>
      <c r="X105" s="909"/>
      <c r="Y105" s="909"/>
      <c r="Z105" s="909"/>
      <c r="AA105" s="909"/>
      <c r="AB105" s="910">
        <v>2012</v>
      </c>
      <c r="AC105" s="909"/>
      <c r="AD105" s="909"/>
      <c r="AE105" s="909"/>
      <c r="AF105" s="909"/>
      <c r="AG105" s="909"/>
      <c r="AH105" s="911"/>
    </row>
    <row r="106" spans="22:34" ht="15" thickBot="1">
      <c r="V106" s="657" t="s">
        <v>748</v>
      </c>
      <c r="W106" s="912" t="s">
        <v>36</v>
      </c>
      <c r="X106" s="913" t="s">
        <v>37</v>
      </c>
      <c r="Y106" s="913" t="s">
        <v>38</v>
      </c>
      <c r="Z106" s="913" t="s">
        <v>39</v>
      </c>
      <c r="AA106" s="913" t="s">
        <v>40</v>
      </c>
      <c r="AB106" s="913" t="s">
        <v>41</v>
      </c>
      <c r="AC106" s="913" t="s">
        <v>42</v>
      </c>
      <c r="AD106" s="913" t="s">
        <v>43</v>
      </c>
      <c r="AE106" s="913" t="s">
        <v>44</v>
      </c>
      <c r="AF106" s="913" t="s">
        <v>45</v>
      </c>
      <c r="AG106" s="913" t="s">
        <v>46</v>
      </c>
      <c r="AH106" s="914" t="s">
        <v>47</v>
      </c>
    </row>
    <row r="107" spans="22:34" ht="15" thickBot="1">
      <c r="W107" s="915"/>
      <c r="X107" s="916"/>
      <c r="Y107" s="916"/>
      <c r="Z107" s="916"/>
      <c r="AA107" s="916"/>
      <c r="AB107" s="916"/>
      <c r="AC107" s="916"/>
      <c r="AD107" s="916"/>
      <c r="AE107" s="916"/>
      <c r="AF107" s="916"/>
      <c r="AG107" s="916"/>
      <c r="AH107" s="917"/>
    </row>
    <row r="108" spans="22:34" ht="16.2" thickBot="1">
      <c r="V108" s="657" t="s">
        <v>151</v>
      </c>
      <c r="W108" s="918">
        <v>53.089875463470889</v>
      </c>
      <c r="X108" s="919">
        <v>55.87610303153771</v>
      </c>
      <c r="Y108" s="919">
        <v>58.579753404123871</v>
      </c>
      <c r="Z108" s="919">
        <v>53.879183463947015</v>
      </c>
      <c r="AA108" s="919">
        <v>58.787717387036651</v>
      </c>
      <c r="AB108" s="919">
        <v>62.016859985606381</v>
      </c>
      <c r="AC108" s="919">
        <v>59.875153625024922</v>
      </c>
      <c r="AD108" s="919">
        <v>59.294727491619376</v>
      </c>
      <c r="AE108" s="919">
        <v>59.437947944190896</v>
      </c>
      <c r="AF108" s="919">
        <v>60.024214842291194</v>
      </c>
      <c r="AG108" s="919">
        <v>64.57437445092043</v>
      </c>
      <c r="AH108" s="920">
        <v>47.765906961560191</v>
      </c>
    </row>
    <row r="109" spans="22:34" ht="15.6">
      <c r="V109" s="658" t="s">
        <v>144</v>
      </c>
      <c r="W109" s="918">
        <v>68.951356232838961</v>
      </c>
      <c r="X109" s="919">
        <v>72.378673808491399</v>
      </c>
      <c r="Y109" s="919">
        <v>77.877250978115853</v>
      </c>
      <c r="Z109" s="919">
        <v>67.982176955626983</v>
      </c>
      <c r="AA109" s="919">
        <v>78.131865876970096</v>
      </c>
      <c r="AB109" s="919">
        <v>80.292000821943248</v>
      </c>
      <c r="AC109" s="919">
        <v>74.957712284275132</v>
      </c>
      <c r="AD109" s="919">
        <v>76.840261883368285</v>
      </c>
      <c r="AE109" s="919">
        <v>76.000411269537324</v>
      </c>
      <c r="AF109" s="919">
        <v>79.490955401603955</v>
      </c>
      <c r="AG109" s="919">
        <v>85.827678389771748</v>
      </c>
      <c r="AH109" s="920">
        <v>58.283417246070321</v>
      </c>
    </row>
    <row r="110" spans="22:34" ht="15.6">
      <c r="V110" s="658" t="s">
        <v>145</v>
      </c>
      <c r="W110" s="918">
        <v>54.153923096839591</v>
      </c>
      <c r="X110" s="919">
        <v>58.820142701824686</v>
      </c>
      <c r="Y110" s="919">
        <v>59.62452151612402</v>
      </c>
      <c r="Z110" s="919">
        <v>55.014907572976746</v>
      </c>
      <c r="AA110" s="919">
        <v>57.637486294759718</v>
      </c>
      <c r="AB110" s="919">
        <v>63.361160802404292</v>
      </c>
      <c r="AC110" s="919">
        <v>60.693160988628009</v>
      </c>
      <c r="AD110" s="919">
        <v>58.665457225764506</v>
      </c>
      <c r="AE110" s="919">
        <v>60.615114235690662</v>
      </c>
      <c r="AF110" s="919">
        <v>60.740404784960745</v>
      </c>
      <c r="AG110" s="919">
        <v>68.144893576127728</v>
      </c>
      <c r="AH110" s="920">
        <v>49.821418448132398</v>
      </c>
    </row>
    <row r="111" spans="22:34" ht="16.2" thickBot="1">
      <c r="V111" s="659" t="s">
        <v>146</v>
      </c>
      <c r="W111" s="918">
        <v>39.472948298842432</v>
      </c>
      <c r="X111" s="919">
        <v>40.137860697185111</v>
      </c>
      <c r="Y111" s="919">
        <v>42.226645391596634</v>
      </c>
      <c r="Z111" s="919">
        <v>41.609722930406924</v>
      </c>
      <c r="AA111" s="919">
        <v>44.270764777222823</v>
      </c>
      <c r="AB111" s="919">
        <v>45.760666326518113</v>
      </c>
      <c r="AC111" s="919">
        <v>46.782364285452871</v>
      </c>
      <c r="AD111" s="919">
        <v>45.430924601441738</v>
      </c>
      <c r="AE111" s="919">
        <v>44.819317797292804</v>
      </c>
      <c r="AF111" s="919">
        <v>43.419289473100299</v>
      </c>
      <c r="AG111" s="919">
        <v>44.034110098535969</v>
      </c>
      <c r="AH111" s="920">
        <v>37.351701146580545</v>
      </c>
    </row>
    <row r="114" spans="22:34" ht="15" thickBot="1"/>
    <row r="115" spans="22:34" ht="15" thickBot="1">
      <c r="W115" s="921"/>
      <c r="X115" s="922"/>
      <c r="Y115" s="922"/>
      <c r="Z115" s="922"/>
      <c r="AA115" s="922"/>
      <c r="AB115" s="922">
        <v>2011</v>
      </c>
      <c r="AC115" s="922"/>
      <c r="AD115" s="922"/>
      <c r="AE115" s="922"/>
      <c r="AF115" s="922"/>
      <c r="AG115" s="922"/>
      <c r="AH115" s="922"/>
    </row>
    <row r="116" spans="22:34" ht="15" thickBot="1">
      <c r="V116" s="660" t="s">
        <v>749</v>
      </c>
      <c r="W116" s="923" t="s">
        <v>36</v>
      </c>
      <c r="X116" s="924" t="s">
        <v>37</v>
      </c>
      <c r="Y116" s="924" t="s">
        <v>38</v>
      </c>
      <c r="Z116" s="924" t="s">
        <v>39</v>
      </c>
      <c r="AA116" s="924" t="s">
        <v>40</v>
      </c>
      <c r="AB116" s="924" t="s">
        <v>41</v>
      </c>
      <c r="AC116" s="924" t="s">
        <v>42</v>
      </c>
      <c r="AD116" s="924" t="s">
        <v>43</v>
      </c>
      <c r="AE116" s="924" t="s">
        <v>44</v>
      </c>
      <c r="AF116" s="924" t="s">
        <v>45</v>
      </c>
      <c r="AG116" s="924" t="s">
        <v>46</v>
      </c>
      <c r="AH116" s="925" t="s">
        <v>47</v>
      </c>
    </row>
    <row r="117" spans="22:34" ht="15" thickBot="1">
      <c r="W117" s="926"/>
      <c r="X117" s="926"/>
      <c r="Y117" s="926"/>
      <c r="Z117" s="926"/>
      <c r="AA117" s="926"/>
      <c r="AB117" s="926"/>
      <c r="AC117" s="926"/>
      <c r="AD117" s="926"/>
      <c r="AE117" s="926"/>
      <c r="AF117" s="926"/>
      <c r="AG117" s="926"/>
      <c r="AH117" s="926"/>
    </row>
    <row r="118" spans="22:34" ht="16.2" thickBot="1">
      <c r="V118" s="660" t="s">
        <v>151</v>
      </c>
      <c r="W118" s="927">
        <v>47.079084889906142</v>
      </c>
      <c r="X118" s="928">
        <v>54.159655752409741</v>
      </c>
      <c r="Y118" s="928">
        <v>53.545023637071445</v>
      </c>
      <c r="Z118" s="928">
        <v>50.871468108548385</v>
      </c>
      <c r="AA118" s="928">
        <v>52.230783125112957</v>
      </c>
      <c r="AB118" s="928">
        <v>53.992405226685442</v>
      </c>
      <c r="AC118" s="928">
        <v>54.916567527829294</v>
      </c>
      <c r="AD118" s="928">
        <v>54.486169331981472</v>
      </c>
      <c r="AE118" s="928">
        <v>55.124541417875285</v>
      </c>
      <c r="AF118" s="928">
        <v>56.71759176175658</v>
      </c>
      <c r="AG118" s="928">
        <v>61.411019388666553</v>
      </c>
      <c r="AH118" s="929">
        <v>50.684609144756003</v>
      </c>
    </row>
    <row r="119" spans="22:34" ht="15.6">
      <c r="V119" s="661" t="s">
        <v>144</v>
      </c>
      <c r="W119" s="927">
        <v>57.206217530916611</v>
      </c>
      <c r="X119" s="928">
        <v>70.714740382590705</v>
      </c>
      <c r="Y119" s="928">
        <v>71.604279173450024</v>
      </c>
      <c r="Z119" s="928">
        <v>64.841926586842774</v>
      </c>
      <c r="AA119" s="928">
        <v>68.477033326199873</v>
      </c>
      <c r="AB119" s="928">
        <v>70.176108635346893</v>
      </c>
      <c r="AC119" s="928">
        <v>70.086856531635888</v>
      </c>
      <c r="AD119" s="928">
        <v>71.084782654213882</v>
      </c>
      <c r="AE119" s="928">
        <v>72.679821770528321</v>
      </c>
      <c r="AF119" s="928">
        <v>72.996447712698924</v>
      </c>
      <c r="AG119" s="928">
        <v>82.005092296600893</v>
      </c>
      <c r="AH119" s="929">
        <v>61.070614567746659</v>
      </c>
    </row>
    <row r="120" spans="22:34" ht="15.6">
      <c r="V120" s="661" t="s">
        <v>145</v>
      </c>
      <c r="W120" s="927">
        <v>48.171651291523972</v>
      </c>
      <c r="X120" s="928">
        <v>54.852979443424388</v>
      </c>
      <c r="Y120" s="928">
        <v>55.134457565877362</v>
      </c>
      <c r="Z120" s="928">
        <v>52.754503136692179</v>
      </c>
      <c r="AA120" s="928">
        <v>53.634173569362488</v>
      </c>
      <c r="AB120" s="928">
        <v>53.978951629452347</v>
      </c>
      <c r="AC120" s="928">
        <v>58.467986760534302</v>
      </c>
      <c r="AD120" s="928">
        <v>57.324167107310259</v>
      </c>
      <c r="AE120" s="928">
        <v>57.051204210310864</v>
      </c>
      <c r="AF120" s="928">
        <v>58.772385405189027</v>
      </c>
      <c r="AG120" s="928">
        <v>63.502285826320829</v>
      </c>
      <c r="AH120" s="929">
        <v>51.143555120506853</v>
      </c>
    </row>
    <row r="121" spans="22:34" ht="16.2" thickBot="1">
      <c r="V121" s="662" t="s">
        <v>146</v>
      </c>
      <c r="W121" s="927">
        <v>38.048395322087728</v>
      </c>
      <c r="X121" s="928">
        <v>40.314708239347254</v>
      </c>
      <c r="Y121" s="928">
        <v>37.742428977003065</v>
      </c>
      <c r="Z121" s="928">
        <v>38.097909230040784</v>
      </c>
      <c r="AA121" s="928">
        <v>38.036880459337077</v>
      </c>
      <c r="AB121" s="928">
        <v>41.0385857568414</v>
      </c>
      <c r="AC121" s="928">
        <v>39.780559623063738</v>
      </c>
      <c r="AD121" s="928">
        <v>38.805086279868419</v>
      </c>
      <c r="AE121" s="928">
        <v>39.442461329573703</v>
      </c>
      <c r="AF121" s="928">
        <v>41.919034067229987</v>
      </c>
      <c r="AG121" s="928">
        <v>43.124256331904128</v>
      </c>
      <c r="AH121" s="929">
        <v>41.97167343804896</v>
      </c>
    </row>
    <row r="123" spans="22:34" ht="15" thickBot="1"/>
    <row r="124" spans="22:34" ht="15" thickBot="1">
      <c r="W124" s="930"/>
      <c r="X124" s="931"/>
      <c r="Y124" s="931"/>
      <c r="Z124" s="931"/>
      <c r="AA124" s="931"/>
      <c r="AB124" s="931">
        <v>2010</v>
      </c>
      <c r="AC124" s="931"/>
      <c r="AD124" s="931"/>
      <c r="AE124" s="931"/>
      <c r="AF124" s="931"/>
      <c r="AG124" s="931"/>
      <c r="AH124" s="932"/>
    </row>
    <row r="125" spans="22:34" ht="15" thickBot="1">
      <c r="V125" s="663" t="s">
        <v>750</v>
      </c>
      <c r="W125" s="933" t="s">
        <v>36</v>
      </c>
      <c r="X125" s="926" t="s">
        <v>37</v>
      </c>
      <c r="Y125" s="926" t="s">
        <v>38</v>
      </c>
      <c r="Z125" s="926" t="s">
        <v>39</v>
      </c>
      <c r="AA125" s="926" t="s">
        <v>40</v>
      </c>
      <c r="AB125" s="926" t="s">
        <v>41</v>
      </c>
      <c r="AC125" s="926" t="s">
        <v>42</v>
      </c>
      <c r="AD125" s="926" t="s">
        <v>43</v>
      </c>
      <c r="AE125" s="926" t="s">
        <v>44</v>
      </c>
      <c r="AF125" s="926" t="s">
        <v>45</v>
      </c>
      <c r="AG125" s="926" t="s">
        <v>46</v>
      </c>
      <c r="AH125" s="934" t="s">
        <v>47</v>
      </c>
    </row>
    <row r="126" spans="22:34" ht="15" thickBot="1">
      <c r="W126" s="935"/>
      <c r="X126" s="936"/>
      <c r="Y126" s="936"/>
      <c r="Z126" s="936"/>
      <c r="AA126" s="936"/>
      <c r="AB126" s="936"/>
      <c r="AC126" s="936"/>
      <c r="AD126" s="936"/>
      <c r="AE126" s="936"/>
      <c r="AF126" s="936"/>
      <c r="AG126" s="936"/>
      <c r="AH126" s="937"/>
    </row>
    <row r="127" spans="22:34" ht="16.2" thickBot="1">
      <c r="V127" s="663" t="s">
        <v>151</v>
      </c>
      <c r="W127" s="938">
        <v>46.844172135145513</v>
      </c>
      <c r="X127" s="939">
        <v>54.180880272627071</v>
      </c>
      <c r="Y127" s="939">
        <v>53.044507487294503</v>
      </c>
      <c r="Z127" s="939">
        <v>50.910729226471325</v>
      </c>
      <c r="AA127" s="939">
        <v>51.893191486115484</v>
      </c>
      <c r="AB127" s="939">
        <v>53.137671365175905</v>
      </c>
      <c r="AC127" s="939">
        <v>53.520109125300245</v>
      </c>
      <c r="AD127" s="939">
        <v>52.132370802605131</v>
      </c>
      <c r="AE127" s="939">
        <v>51.076140824553399</v>
      </c>
      <c r="AF127" s="939">
        <v>56.118692736004242</v>
      </c>
      <c r="AG127" s="939">
        <v>55.756581064313373</v>
      </c>
      <c r="AH127" s="940">
        <v>49.254121794042113</v>
      </c>
    </row>
    <row r="128" spans="22:34" ht="15.6">
      <c r="V128" s="664" t="s">
        <v>144</v>
      </c>
      <c r="W128" s="938">
        <v>58.31489713689755</v>
      </c>
      <c r="X128" s="939">
        <v>70.028189506728211</v>
      </c>
      <c r="Y128" s="939">
        <v>68.858955669503487</v>
      </c>
      <c r="Z128" s="939">
        <v>63.800127305194138</v>
      </c>
      <c r="AA128" s="939">
        <v>67.711135293074477</v>
      </c>
      <c r="AB128" s="939">
        <v>67.884574581928717</v>
      </c>
      <c r="AC128" s="939">
        <v>67.616681380464669</v>
      </c>
      <c r="AD128" s="939">
        <v>66.873370155525151</v>
      </c>
      <c r="AE128" s="939">
        <v>64.347549329866325</v>
      </c>
      <c r="AF128" s="939">
        <v>73.536477690636517</v>
      </c>
      <c r="AG128" s="939">
        <v>73.341820495607877</v>
      </c>
      <c r="AH128" s="940">
        <v>60.337570068892425</v>
      </c>
    </row>
    <row r="129" spans="22:34" ht="15.6">
      <c r="V129" s="664" t="s">
        <v>145</v>
      </c>
      <c r="W129" s="938">
        <v>44.801463424466625</v>
      </c>
      <c r="X129" s="939">
        <v>52.718253967518528</v>
      </c>
      <c r="Y129" s="939">
        <v>53.064516128648137</v>
      </c>
      <c r="Z129" s="939">
        <v>50.985630438849427</v>
      </c>
      <c r="AA129" s="939">
        <v>51.530642223391013</v>
      </c>
      <c r="AB129" s="939">
        <v>55.636510827255613</v>
      </c>
      <c r="AC129" s="939">
        <v>57.21644436681845</v>
      </c>
      <c r="AD129" s="939">
        <v>52.717550972799025</v>
      </c>
      <c r="AE129" s="939">
        <v>52.098765431979366</v>
      </c>
      <c r="AF129" s="939">
        <v>56.856062832319374</v>
      </c>
      <c r="AG129" s="939">
        <v>59.321999595886467</v>
      </c>
      <c r="AH129" s="940">
        <v>49.636680572067391</v>
      </c>
    </row>
    <row r="130" spans="22:34" ht="16.2" thickBot="1">
      <c r="V130" s="665" t="s">
        <v>146</v>
      </c>
      <c r="W130" s="938">
        <v>39.308160373479083</v>
      </c>
      <c r="X130" s="939">
        <v>42.687682215230602</v>
      </c>
      <c r="Y130" s="939">
        <v>40.352205398905092</v>
      </c>
      <c r="Z130" s="939">
        <v>40.521842597985732</v>
      </c>
      <c r="AA130" s="939">
        <v>39.52558766917236</v>
      </c>
      <c r="AB130" s="939">
        <v>39.224885262389598</v>
      </c>
      <c r="AC130" s="939">
        <v>39.122567485502302</v>
      </c>
      <c r="AD130" s="939">
        <v>39.83155401334114</v>
      </c>
      <c r="AE130" s="939">
        <v>39.58524562298421</v>
      </c>
      <c r="AF130" s="939">
        <v>41.545623530314131</v>
      </c>
      <c r="AG130" s="939">
        <v>38.674145843474754</v>
      </c>
      <c r="AH130" s="940">
        <v>40.053626359469156</v>
      </c>
    </row>
    <row r="133" spans="22:34" ht="15" thickBot="1"/>
    <row r="134" spans="22:34" ht="16.2" thickBot="1">
      <c r="W134" s="941"/>
      <c r="X134" s="942"/>
      <c r="Y134" s="942"/>
      <c r="Z134" s="942"/>
      <c r="AA134" s="942"/>
      <c r="AB134" s="942">
        <v>2009</v>
      </c>
      <c r="AC134" s="942"/>
      <c r="AD134" s="942"/>
      <c r="AE134" s="942"/>
      <c r="AF134" s="942"/>
      <c r="AG134" s="942"/>
      <c r="AH134" s="943"/>
    </row>
    <row r="135" spans="22:34" ht="15" thickBot="1">
      <c r="V135" s="657" t="s">
        <v>751</v>
      </c>
      <c r="W135" s="944" t="s">
        <v>36</v>
      </c>
      <c r="X135" s="945" t="s">
        <v>37</v>
      </c>
      <c r="Y135" s="945" t="s">
        <v>38</v>
      </c>
      <c r="Z135" s="945" t="s">
        <v>39</v>
      </c>
      <c r="AA135" s="945" t="s">
        <v>40</v>
      </c>
      <c r="AB135" s="945" t="s">
        <v>41</v>
      </c>
      <c r="AC135" s="945" t="s">
        <v>42</v>
      </c>
      <c r="AD135" s="945" t="s">
        <v>43</v>
      </c>
      <c r="AE135" s="945" t="s">
        <v>44</v>
      </c>
      <c r="AF135" s="945" t="s">
        <v>45</v>
      </c>
      <c r="AG135" s="945" t="s">
        <v>46</v>
      </c>
      <c r="AH135" s="946" t="s">
        <v>47</v>
      </c>
    </row>
    <row r="136" spans="22:34" ht="15" thickBot="1">
      <c r="W136" s="947"/>
      <c r="X136" s="948"/>
      <c r="Y136" s="948"/>
      <c r="Z136" s="948"/>
      <c r="AA136" s="948"/>
      <c r="AB136" s="948"/>
      <c r="AC136" s="948"/>
      <c r="AD136" s="948"/>
      <c r="AE136" s="948"/>
      <c r="AF136" s="948"/>
      <c r="AG136" s="948"/>
      <c r="AH136" s="949"/>
    </row>
    <row r="137" spans="22:34" ht="16.2" thickBot="1">
      <c r="V137" s="657" t="s">
        <v>151</v>
      </c>
      <c r="W137" s="950">
        <v>47.276710982789211</v>
      </c>
      <c r="X137" s="951">
        <v>48.627691780909444</v>
      </c>
      <c r="Y137" s="951">
        <v>50.878535751101467</v>
      </c>
      <c r="Z137" s="951">
        <v>46.381673143536318</v>
      </c>
      <c r="AA137" s="951">
        <v>48.21662465190493</v>
      </c>
      <c r="AB137" s="951">
        <v>49.669792091339772</v>
      </c>
      <c r="AC137" s="951">
        <v>52.647843982929082</v>
      </c>
      <c r="AD137" s="951">
        <v>52.179589997558047</v>
      </c>
      <c r="AE137" s="951">
        <v>49.544645303169894</v>
      </c>
      <c r="AF137" s="951">
        <v>52.417375007233247</v>
      </c>
      <c r="AG137" s="951">
        <v>54.481723949776615</v>
      </c>
      <c r="AH137" s="952">
        <v>46.643221451943326</v>
      </c>
    </row>
    <row r="138" spans="22:34" ht="15.6">
      <c r="V138" s="658" t="s">
        <v>144</v>
      </c>
      <c r="W138" s="950">
        <v>53.881581441257346</v>
      </c>
      <c r="X138" s="951">
        <v>59.046080243319629</v>
      </c>
      <c r="Y138" s="951">
        <v>66.724627252391571</v>
      </c>
      <c r="Z138" s="951">
        <v>56.726559272391569</v>
      </c>
      <c r="AA138" s="951">
        <v>58.026541952087982</v>
      </c>
      <c r="AB138" s="951">
        <v>62.232548533166046</v>
      </c>
      <c r="AC138" s="951">
        <v>64.141919473995031</v>
      </c>
      <c r="AD138" s="951">
        <v>67.869992074089481</v>
      </c>
      <c r="AE138" s="951">
        <v>64.950640622986768</v>
      </c>
      <c r="AF138" s="951">
        <v>72.697522208594819</v>
      </c>
      <c r="AG138" s="951">
        <v>74.553665196326406</v>
      </c>
      <c r="AH138" s="952">
        <v>54.354940342394457</v>
      </c>
    </row>
    <row r="139" spans="22:34" ht="15.6">
      <c r="V139" s="658" t="s">
        <v>145</v>
      </c>
      <c r="W139" s="950">
        <v>48.092979126448533</v>
      </c>
      <c r="X139" s="951">
        <v>47.124474789998537</v>
      </c>
      <c r="Y139" s="951">
        <v>44.800730733482865</v>
      </c>
      <c r="Z139" s="951">
        <v>46.430700446442629</v>
      </c>
      <c r="AA139" s="951">
        <v>48.765902701403242</v>
      </c>
      <c r="AB139" s="951">
        <v>49.59038508731053</v>
      </c>
      <c r="AC139" s="951">
        <v>52.752260912553353</v>
      </c>
      <c r="AD139" s="951">
        <v>49.424048662824049</v>
      </c>
      <c r="AE139" s="951">
        <v>49.752720078999999</v>
      </c>
      <c r="AF139" s="951">
        <v>52.259007734564321</v>
      </c>
      <c r="AG139" s="951">
        <v>53.630604288406431</v>
      </c>
      <c r="AH139" s="952">
        <v>47.110460863343086</v>
      </c>
    </row>
    <row r="140" spans="22:34" ht="16.2" thickBot="1">
      <c r="V140" s="659" t="s">
        <v>146</v>
      </c>
      <c r="W140" s="950">
        <v>40.873593203790051</v>
      </c>
      <c r="X140" s="951">
        <v>40.541237113186085</v>
      </c>
      <c r="Y140" s="951">
        <v>41.867062730181587</v>
      </c>
      <c r="Z140" s="951">
        <v>37.709949991713913</v>
      </c>
      <c r="AA140" s="951">
        <v>39.640872452465594</v>
      </c>
      <c r="AB140" s="951">
        <v>39.23607518568442</v>
      </c>
      <c r="AC140" s="951">
        <v>42.999083104914732</v>
      </c>
      <c r="AD140" s="951">
        <v>41.217896299902222</v>
      </c>
      <c r="AE140" s="951">
        <v>36.751163994132952</v>
      </c>
      <c r="AF140" s="951">
        <v>35.879378535660628</v>
      </c>
      <c r="AG140" s="951">
        <v>38.604931884841157</v>
      </c>
      <c r="AH140" s="952">
        <v>39.988330416010861</v>
      </c>
    </row>
    <row r="143" spans="22:34" ht="15" thickBot="1"/>
    <row r="144" spans="22:34" ht="16.2" thickBot="1">
      <c r="W144" s="953"/>
      <c r="X144" s="156"/>
      <c r="Y144" s="156"/>
      <c r="Z144" s="156"/>
      <c r="AA144" s="156"/>
      <c r="AB144" s="954">
        <v>2008</v>
      </c>
      <c r="AC144" s="156"/>
      <c r="AD144" s="156"/>
      <c r="AE144" s="156"/>
      <c r="AF144" s="156"/>
      <c r="AG144" s="156"/>
      <c r="AH144" s="955"/>
    </row>
    <row r="145" spans="22:34" ht="15" thickBot="1">
      <c r="V145" s="666" t="s">
        <v>752</v>
      </c>
      <c r="W145" s="956" t="s">
        <v>36</v>
      </c>
      <c r="X145" s="957" t="s">
        <v>37</v>
      </c>
      <c r="Y145" s="957" t="s">
        <v>38</v>
      </c>
      <c r="Z145" s="957" t="s">
        <v>39</v>
      </c>
      <c r="AA145" s="957" t="s">
        <v>40</v>
      </c>
      <c r="AB145" s="957" t="s">
        <v>41</v>
      </c>
      <c r="AC145" s="957" t="s">
        <v>42</v>
      </c>
      <c r="AD145" s="957" t="s">
        <v>43</v>
      </c>
      <c r="AE145" s="957" t="s">
        <v>44</v>
      </c>
      <c r="AF145" s="957" t="s">
        <v>45</v>
      </c>
      <c r="AG145" s="957" t="s">
        <v>46</v>
      </c>
      <c r="AH145" s="957" t="s">
        <v>47</v>
      </c>
    </row>
    <row r="146" spans="22:34" ht="15" thickBot="1">
      <c r="W146" s="956"/>
      <c r="X146" s="957"/>
      <c r="Y146" s="957"/>
      <c r="Z146" s="957"/>
      <c r="AA146" s="957"/>
      <c r="AB146" s="957"/>
      <c r="AC146" s="957"/>
      <c r="AD146" s="957"/>
      <c r="AE146" s="957"/>
      <c r="AF146" s="957"/>
      <c r="AG146" s="957"/>
      <c r="AH146" s="957"/>
    </row>
    <row r="147" spans="22:34" ht="16.2" thickBot="1">
      <c r="V147" s="666" t="s">
        <v>151</v>
      </c>
      <c r="W147" s="958">
        <v>47.852340968457582</v>
      </c>
      <c r="X147" s="959">
        <v>51.920638945599286</v>
      </c>
      <c r="Y147" s="959">
        <v>50.493490406671988</v>
      </c>
      <c r="Z147" s="959">
        <v>53.271377995810482</v>
      </c>
      <c r="AA147" s="959">
        <v>53.435094344529858</v>
      </c>
      <c r="AB147" s="959">
        <v>56.232091690366374</v>
      </c>
      <c r="AC147" s="959">
        <v>58.864695707466012</v>
      </c>
      <c r="AD147" s="959">
        <v>55.950510346118698</v>
      </c>
      <c r="AE147" s="959">
        <v>56.10178741937068</v>
      </c>
      <c r="AF147" s="959">
        <v>55.655553282211514</v>
      </c>
      <c r="AG147" s="959">
        <v>59.003612076366181</v>
      </c>
      <c r="AH147" s="959">
        <v>48.137284627777461</v>
      </c>
    </row>
    <row r="148" spans="22:34" ht="15.6">
      <c r="V148" s="667" t="s">
        <v>144</v>
      </c>
      <c r="W148" s="958">
        <v>62.385879489150945</v>
      </c>
      <c r="X148" s="959">
        <v>71.988576265006145</v>
      </c>
      <c r="Y148" s="959">
        <v>68.408866019858891</v>
      </c>
      <c r="Z148" s="959">
        <v>71.728016361153379</v>
      </c>
      <c r="AA148" s="959">
        <v>71.994134897518421</v>
      </c>
      <c r="AB148" s="959">
        <v>75.280507779158469</v>
      </c>
      <c r="AC148" s="959">
        <v>76.381073155067568</v>
      </c>
      <c r="AD148" s="959">
        <v>71.647380518882059</v>
      </c>
      <c r="AE148" s="959">
        <v>74.780917279404164</v>
      </c>
      <c r="AF148" s="959">
        <v>75.416105253599511</v>
      </c>
      <c r="AG148" s="959">
        <v>78.599508598918916</v>
      </c>
      <c r="AH148" s="959">
        <v>59.742807324066334</v>
      </c>
    </row>
    <row r="149" spans="22:34" ht="15.6">
      <c r="V149" s="667" t="s">
        <v>145</v>
      </c>
      <c r="W149" s="958">
        <v>48.650280085107021</v>
      </c>
      <c r="X149" s="959">
        <v>50.988540160694605</v>
      </c>
      <c r="Y149" s="959">
        <v>48.099768205303157</v>
      </c>
      <c r="Z149" s="959">
        <v>50.508982035748495</v>
      </c>
      <c r="AA149" s="959">
        <v>51.209677419509781</v>
      </c>
      <c r="AB149" s="959">
        <v>55.549698795173207</v>
      </c>
      <c r="AC149" s="959">
        <v>58.892829382112964</v>
      </c>
      <c r="AD149" s="959">
        <v>55.591721726871242</v>
      </c>
      <c r="AE149" s="959">
        <v>52.999497991992463</v>
      </c>
      <c r="AF149" s="959">
        <v>54.181915125755822</v>
      </c>
      <c r="AG149" s="959">
        <v>58.066616578824942</v>
      </c>
      <c r="AH149" s="959">
        <v>49.013797123383284</v>
      </c>
    </row>
    <row r="150" spans="22:34" ht="16.2" thickBot="1">
      <c r="V150" s="668" t="s">
        <v>146</v>
      </c>
      <c r="W150" s="958">
        <v>35.326759150972528</v>
      </c>
      <c r="X150" s="959">
        <v>35.617294979795858</v>
      </c>
      <c r="Y150" s="959">
        <v>37.019889687259585</v>
      </c>
      <c r="Z150" s="959">
        <v>39.595854921786511</v>
      </c>
      <c r="AA150" s="959">
        <v>39.311382249276676</v>
      </c>
      <c r="AB150" s="959">
        <v>40.633851468740943</v>
      </c>
      <c r="AC150" s="959">
        <v>44.069864616986024</v>
      </c>
      <c r="AD150" s="959">
        <v>42.956710680368396</v>
      </c>
      <c r="AE150" s="959">
        <v>42.480138169331084</v>
      </c>
      <c r="AF150" s="959">
        <v>40.003342803881353</v>
      </c>
      <c r="AG150" s="959">
        <v>43.136645962759331</v>
      </c>
      <c r="AH150" s="959">
        <v>37.787542861150662</v>
      </c>
    </row>
    <row r="153" spans="22:34" ht="15" thickBot="1"/>
    <row r="154" spans="22:34" ht="15" thickBot="1">
      <c r="W154" s="960"/>
      <c r="X154" s="961"/>
      <c r="Y154" s="961"/>
      <c r="Z154" s="962"/>
      <c r="AA154" s="961"/>
      <c r="AB154" s="963">
        <v>2007</v>
      </c>
      <c r="AC154" s="963"/>
      <c r="AD154" s="961"/>
      <c r="AE154" s="961"/>
      <c r="AF154" s="961"/>
      <c r="AG154" s="961"/>
      <c r="AH154" s="964"/>
    </row>
    <row r="155" spans="22:34" ht="15" thickBot="1">
      <c r="V155" s="669" t="s">
        <v>753</v>
      </c>
      <c r="W155" s="965" t="s">
        <v>36</v>
      </c>
      <c r="X155" s="159" t="s">
        <v>37</v>
      </c>
      <c r="Y155" s="159" t="s">
        <v>38</v>
      </c>
      <c r="Z155" s="159" t="s">
        <v>39</v>
      </c>
      <c r="AA155" s="159" t="s">
        <v>40</v>
      </c>
      <c r="AB155" s="159" t="s">
        <v>41</v>
      </c>
      <c r="AC155" s="159" t="s">
        <v>42</v>
      </c>
      <c r="AD155" s="159" t="s">
        <v>43</v>
      </c>
      <c r="AE155" s="159" t="s">
        <v>44</v>
      </c>
      <c r="AF155" s="159" t="s">
        <v>45</v>
      </c>
      <c r="AG155" s="159" t="s">
        <v>46</v>
      </c>
      <c r="AH155" s="160" t="s">
        <v>47</v>
      </c>
    </row>
    <row r="156" spans="22:34" ht="15" thickBot="1">
      <c r="W156" s="966"/>
      <c r="X156" s="967"/>
      <c r="Y156" s="967"/>
      <c r="Z156" s="967"/>
      <c r="AA156" s="967"/>
      <c r="AB156" s="967"/>
      <c r="AC156" s="967"/>
      <c r="AD156" s="967"/>
      <c r="AE156" s="967"/>
      <c r="AF156" s="967"/>
      <c r="AG156" s="967"/>
      <c r="AH156" s="968"/>
    </row>
    <row r="157" spans="22:34" ht="16.2" thickBot="1">
      <c r="V157" s="669" t="s">
        <v>151</v>
      </c>
      <c r="W157" s="969">
        <v>47.239377634177075</v>
      </c>
      <c r="X157" s="970">
        <v>50.688309020043988</v>
      </c>
      <c r="Y157" s="970">
        <v>51.845590867311138</v>
      </c>
      <c r="Z157" s="970">
        <v>50.847376353295132</v>
      </c>
      <c r="AA157" s="970">
        <v>50.261856463469151</v>
      </c>
      <c r="AB157" s="970">
        <v>55.469242361743312</v>
      </c>
      <c r="AC157" s="970">
        <v>55.089875335545024</v>
      </c>
      <c r="AD157" s="970">
        <v>53.986819566650787</v>
      </c>
      <c r="AE157" s="970">
        <v>51.96837624161931</v>
      </c>
      <c r="AF157" s="970">
        <v>53.713306698027367</v>
      </c>
      <c r="AG157" s="970">
        <v>58.200243210258613</v>
      </c>
      <c r="AH157" s="971">
        <v>44.25835728769222</v>
      </c>
    </row>
    <row r="158" spans="22:34" ht="15.6">
      <c r="V158" s="670" t="s">
        <v>144</v>
      </c>
      <c r="W158" s="969">
        <v>64.23691168809836</v>
      </c>
      <c r="X158" s="970">
        <v>70.47914818109318</v>
      </c>
      <c r="Y158" s="970">
        <v>73.89701462659626</v>
      </c>
      <c r="Z158" s="970">
        <v>69.63354037385092</v>
      </c>
      <c r="AA158" s="970">
        <v>67.727910240484476</v>
      </c>
      <c r="AB158" s="970">
        <v>79.476190476683229</v>
      </c>
      <c r="AC158" s="970">
        <v>73.653973059927807</v>
      </c>
      <c r="AD158" s="970">
        <v>70.488204141325383</v>
      </c>
      <c r="AE158" s="970">
        <v>73.926368158782083</v>
      </c>
      <c r="AF158" s="970">
        <v>74.561386617898506</v>
      </c>
      <c r="AG158" s="970">
        <v>77.562189054244783</v>
      </c>
      <c r="AH158" s="971">
        <v>56.946642321528302</v>
      </c>
    </row>
    <row r="159" spans="22:34" ht="15.6">
      <c r="V159" s="670" t="s">
        <v>145</v>
      </c>
      <c r="W159" s="969">
        <v>45.156822446045695</v>
      </c>
      <c r="X159" s="970">
        <v>48.166245745545744</v>
      </c>
      <c r="Y159" s="970">
        <v>46.574980797897318</v>
      </c>
      <c r="Z159" s="970">
        <v>46.72371031802605</v>
      </c>
      <c r="AA159" s="970">
        <v>48.334293394901792</v>
      </c>
      <c r="AB159" s="970">
        <v>50.376984125961307</v>
      </c>
      <c r="AC159" s="970">
        <v>54.783258595718991</v>
      </c>
      <c r="AD159" s="970">
        <v>54.364467982388057</v>
      </c>
      <c r="AE159" s="970">
        <v>47.070858283677396</v>
      </c>
      <c r="AF159" s="970">
        <v>55.324029360527696</v>
      </c>
      <c r="AG159" s="970">
        <v>58.405688623355545</v>
      </c>
      <c r="AH159" s="971">
        <v>42.964071856426649</v>
      </c>
    </row>
    <row r="160" spans="22:34" ht="16.2" thickBot="1">
      <c r="V160" s="671" t="s">
        <v>146</v>
      </c>
      <c r="W160" s="969">
        <v>35.173011262103216</v>
      </c>
      <c r="X160" s="970">
        <v>36.075810692248986</v>
      </c>
      <c r="Y160" s="970">
        <v>36.982048859383887</v>
      </c>
      <c r="Z160" s="970">
        <v>37.927126917263088</v>
      </c>
      <c r="AA160" s="970">
        <v>36.909501956753665</v>
      </c>
      <c r="AB160" s="970">
        <v>38.833682008101988</v>
      </c>
      <c r="AC160" s="970">
        <v>39.225739212545058</v>
      </c>
      <c r="AD160" s="970">
        <v>39.319874261977589</v>
      </c>
      <c r="AE160" s="970">
        <v>36.236559139934968</v>
      </c>
      <c r="AF160" s="970">
        <v>34.424826290699279</v>
      </c>
      <c r="AG160" s="970">
        <v>41.192581036273026</v>
      </c>
      <c r="AH160" s="971">
        <v>34.661474942412063</v>
      </c>
    </row>
    <row r="162" spans="22:34" ht="15" thickBot="1"/>
    <row r="163" spans="22:34">
      <c r="AB163" s="156"/>
      <c r="AC163" s="156"/>
      <c r="AD163" s="156"/>
      <c r="AE163" s="972">
        <v>2006</v>
      </c>
      <c r="AF163" s="156"/>
      <c r="AG163" s="156"/>
      <c r="AH163" s="973"/>
    </row>
    <row r="164" spans="22:34" ht="15" thickBot="1">
      <c r="AB164" s="957" t="s">
        <v>41</v>
      </c>
      <c r="AC164" s="957" t="s">
        <v>42</v>
      </c>
      <c r="AD164" s="957" t="s">
        <v>43</v>
      </c>
      <c r="AE164" s="957" t="s">
        <v>44</v>
      </c>
      <c r="AF164" s="957" t="s">
        <v>45</v>
      </c>
      <c r="AG164" s="957" t="s">
        <v>46</v>
      </c>
      <c r="AH164" s="974" t="s">
        <v>47</v>
      </c>
    </row>
    <row r="165" spans="22:34" ht="15" thickBot="1">
      <c r="V165" s="666" t="s">
        <v>754</v>
      </c>
      <c r="AB165" s="957"/>
      <c r="AC165" s="957"/>
      <c r="AD165" s="957"/>
      <c r="AE165" s="957"/>
      <c r="AF165" s="957"/>
      <c r="AG165" s="957"/>
      <c r="AH165" s="974"/>
    </row>
    <row r="166" spans="22:34" ht="16.2" thickBot="1">
      <c r="V166" s="666" t="s">
        <v>151</v>
      </c>
      <c r="AB166" s="959">
        <v>50.845060706401767</v>
      </c>
      <c r="AC166" s="959">
        <v>46.981423648154973</v>
      </c>
      <c r="AD166" s="959">
        <v>49.288885986678856</v>
      </c>
      <c r="AE166" s="959">
        <v>47.349454717875773</v>
      </c>
      <c r="AF166" s="959">
        <v>49.325955800596077</v>
      </c>
      <c r="AG166" s="959">
        <v>53.017335517335518</v>
      </c>
      <c r="AH166" s="975">
        <v>42.113676266345223</v>
      </c>
    </row>
    <row r="167" spans="22:34" ht="15.6">
      <c r="V167" s="667" t="s">
        <v>144</v>
      </c>
      <c r="AB167" s="959">
        <v>66.837820914214149</v>
      </c>
      <c r="AC167" s="959">
        <v>70.627458693941776</v>
      </c>
      <c r="AD167" s="959">
        <v>66.456287985039737</v>
      </c>
      <c r="AE167" s="959">
        <v>71.515693285657534</v>
      </c>
      <c r="AF167" s="959">
        <v>69.76457204558163</v>
      </c>
      <c r="AG167" s="959">
        <v>75.224148236700543</v>
      </c>
      <c r="AH167" s="975">
        <v>54.53881819078623</v>
      </c>
    </row>
    <row r="168" spans="22:34" ht="15.6">
      <c r="V168" s="667" t="s">
        <v>145</v>
      </c>
      <c r="AB168" s="959">
        <v>45.746951219512191</v>
      </c>
      <c r="AC168" s="959">
        <v>44.423549833646753</v>
      </c>
      <c r="AD168" s="959">
        <v>46.168896280173151</v>
      </c>
      <c r="AE168" s="959">
        <v>43.744257274119448</v>
      </c>
      <c r="AF168" s="959">
        <v>49.859529423568958</v>
      </c>
      <c r="AG168" s="959">
        <v>49.807592303692147</v>
      </c>
      <c r="AH168" s="975">
        <v>40.646617636350399</v>
      </c>
    </row>
    <row r="169" spans="22:34" ht="16.2" thickBot="1">
      <c r="V169" s="668" t="s">
        <v>146</v>
      </c>
      <c r="AB169" s="959">
        <v>41.041775004333509</v>
      </c>
      <c r="AC169" s="959">
        <v>29.399592563481498</v>
      </c>
      <c r="AD169" s="959">
        <v>36.915373881638345</v>
      </c>
      <c r="AE169" s="959">
        <v>28.845293409051799</v>
      </c>
      <c r="AF169" s="959">
        <v>31.383578919421211</v>
      </c>
      <c r="AG169" s="959">
        <v>35.890789701054089</v>
      </c>
      <c r="AH169" s="975">
        <v>32.743581303489137</v>
      </c>
    </row>
  </sheetData>
  <mergeCells count="20">
    <mergeCell ref="B2:M2"/>
    <mergeCell ref="AF13:AH13"/>
    <mergeCell ref="W19:AE19"/>
    <mergeCell ref="AF3:AH3"/>
    <mergeCell ref="W9:X9"/>
    <mergeCell ref="Y9:Z9"/>
    <mergeCell ref="AF77:AH77"/>
    <mergeCell ref="E22:L22"/>
    <mergeCell ref="E16:M16"/>
    <mergeCell ref="E17:M17"/>
    <mergeCell ref="E18:M18"/>
    <mergeCell ref="E19:M19"/>
    <mergeCell ref="E20:M20"/>
    <mergeCell ref="E21:M21"/>
    <mergeCell ref="AA63:AH63"/>
    <mergeCell ref="V37:V38"/>
    <mergeCell ref="X38:AE38"/>
    <mergeCell ref="W28:AH28"/>
    <mergeCell ref="AF20:AH20"/>
    <mergeCell ref="AF29:AH29"/>
  </mergeCells>
  <phoneticPr fontId="11" type="noConversion"/>
  <hyperlinks>
    <hyperlink ref="C13" r:id="rId1" xr:uid="{00000000-0004-0000-1400-000000000000}"/>
    <hyperlink ref="U75" r:id="rId2" xr:uid="{00000000-0004-0000-1400-000001000000}"/>
    <hyperlink ref="U58" r:id="rId3" xr:uid="{00000000-0004-0000-1400-000002000000}"/>
    <hyperlink ref="U61" r:id="rId4" xr:uid="{00000000-0004-0000-1400-000003000000}"/>
    <hyperlink ref="U63" r:id="rId5" xr:uid="{00000000-0004-0000-1400-000004000000}"/>
    <hyperlink ref="U77" r:id="rId6" xr:uid="{00000000-0004-0000-1400-000005000000}"/>
    <hyperlink ref="U73"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IP64"/>
  <sheetViews>
    <sheetView showGridLines="0" topLeftCell="FF1" workbookViewId="0">
      <selection activeCell="FQ7" sqref="FQ7"/>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2" hidden="1" customWidth="1"/>
    <col min="72" max="74" width="5.44140625" style="1001" hidden="1" customWidth="1"/>
    <col min="75" max="75" width="4.44140625" style="1001" hidden="1" customWidth="1"/>
    <col min="76" max="76" width="5.44140625" style="1001" hidden="1" customWidth="1"/>
    <col min="77" max="79" width="4.44140625" style="1001" hidden="1" customWidth="1"/>
    <col min="80" max="81" width="5.44140625" style="1001" hidden="1" customWidth="1"/>
    <col min="82" max="82" width="5.44140625" style="1499" hidden="1" customWidth="1"/>
    <col min="83" max="85" width="5.44140625" style="1001" hidden="1" customWidth="1"/>
    <col min="86" max="86" width="4.44140625" style="1001" hidden="1" customWidth="1"/>
    <col min="87" max="93" width="5.44140625" style="1001" hidden="1" customWidth="1"/>
    <col min="94" max="94" width="4.44140625" style="1001" hidden="1" customWidth="1"/>
    <col min="95" max="95" width="5.5546875" style="2" hidden="1" customWidth="1"/>
    <col min="96" max="96" width="5.5546875" style="1000" hidden="1" customWidth="1"/>
    <col min="97" max="104" width="5.5546875" style="1001" hidden="1" customWidth="1"/>
    <col min="105" max="106" width="5.5546875" style="2" hidden="1" customWidth="1"/>
    <col min="107" max="156" width="5.44140625" style="2" hidden="1" customWidth="1"/>
    <col min="157" max="181" width="5.44140625" style="2" customWidth="1"/>
    <col min="182" max="182" width="5.44140625" style="389" hidden="1" customWidth="1"/>
    <col min="183" max="183" width="17.44140625" style="2" bestFit="1" customWidth="1"/>
    <col min="184" max="184" width="2.88671875" style="2" customWidth="1"/>
    <col min="185" max="185" width="6.109375" style="2" hidden="1" customWidth="1"/>
    <col min="186" max="190" width="6.6640625" style="2" hidden="1" customWidth="1"/>
    <col min="191" max="193" width="7.5546875" style="2" hidden="1" customWidth="1"/>
    <col min="194" max="195" width="7.5546875" style="2" bestFit="1" customWidth="1"/>
    <col min="196" max="196" width="8.33203125" style="2" bestFit="1" customWidth="1"/>
    <col min="197" max="198" width="9.5546875" style="2" customWidth="1"/>
    <col min="199" max="200" width="11.44140625" style="2"/>
    <col min="201" max="201" width="16.77734375" style="2" customWidth="1"/>
    <col min="202" max="202" width="15.88671875" style="2" customWidth="1"/>
    <col min="203" max="16384" width="11.44140625" style="2"/>
  </cols>
  <sheetData>
    <row r="1" spans="1:250" s="1020" customFormat="1" ht="13.8">
      <c r="A1" s="1436"/>
      <c r="B1" s="1436"/>
      <c r="C1" s="1434"/>
      <c r="D1" s="1437"/>
      <c r="E1" s="1438"/>
      <c r="F1" s="1438"/>
      <c r="G1" s="1438"/>
      <c r="H1" s="1438"/>
      <c r="I1" s="1438"/>
      <c r="J1" s="1435"/>
      <c r="K1" s="1435"/>
      <c r="L1" s="1435"/>
      <c r="M1" s="1435"/>
      <c r="N1" s="1435"/>
      <c r="O1" s="1435"/>
      <c r="P1" s="1435"/>
      <c r="Q1" s="1435"/>
      <c r="R1" s="1435"/>
      <c r="S1" s="1435"/>
      <c r="T1" s="1435"/>
      <c r="U1" s="1435"/>
      <c r="V1" s="1435"/>
      <c r="W1" s="1435"/>
      <c r="X1" s="1435"/>
      <c r="Y1" s="1435"/>
      <c r="Z1" s="1435"/>
      <c r="AA1" s="1435"/>
      <c r="AB1" s="1435"/>
      <c r="AC1" s="1435"/>
      <c r="AD1" s="1435"/>
      <c r="AE1" s="1435"/>
      <c r="AF1" s="1435"/>
      <c r="AG1" s="1435"/>
      <c r="AH1" s="1435"/>
      <c r="AI1" s="1435"/>
      <c r="AJ1" s="1435"/>
      <c r="AK1" s="1435"/>
      <c r="AL1" s="1435"/>
      <c r="AM1" s="1435"/>
      <c r="AN1" s="1435"/>
      <c r="AO1" s="1435"/>
      <c r="AP1" s="1435"/>
      <c r="AQ1" s="1435"/>
      <c r="AR1" s="1435"/>
      <c r="AS1" s="1435"/>
      <c r="AT1" s="1435"/>
      <c r="AU1" s="1435"/>
      <c r="AV1" s="1435"/>
      <c r="AW1" s="1435"/>
      <c r="AX1" s="1435"/>
      <c r="AY1" s="1435"/>
      <c r="AZ1" s="1435"/>
      <c r="BA1" s="1435"/>
      <c r="BB1" s="1435"/>
      <c r="BC1" s="1435"/>
      <c r="BD1" s="1435"/>
      <c r="BE1" s="1435"/>
      <c r="BF1" s="1435"/>
      <c r="BG1" s="1435"/>
      <c r="BH1" s="1435"/>
      <c r="BI1" s="1435"/>
      <c r="BJ1" s="1435"/>
      <c r="BK1" s="1435"/>
      <c r="BL1" s="1435"/>
      <c r="BM1" s="1435"/>
      <c r="BN1" s="1435"/>
      <c r="BO1" s="1435"/>
      <c r="BP1" s="1435"/>
      <c r="BQ1" s="1435"/>
      <c r="BR1" s="1435"/>
      <c r="BS1" s="1435"/>
      <c r="BT1" s="1435"/>
      <c r="BU1" s="1435"/>
      <c r="BV1" s="1435"/>
      <c r="BW1" s="1435"/>
      <c r="BX1" s="1435"/>
      <c r="BY1" s="1435"/>
      <c r="BZ1" s="1435"/>
      <c r="CA1" s="1435"/>
      <c r="CB1" s="1435"/>
      <c r="CC1" s="1435"/>
      <c r="CD1" s="1435"/>
      <c r="CE1" s="1435"/>
      <c r="CF1" s="1435"/>
      <c r="CG1" s="1435"/>
      <c r="CH1" s="1435"/>
      <c r="CI1" s="1435"/>
      <c r="CJ1" s="1435"/>
      <c r="CK1" s="1435"/>
      <c r="CL1" s="1435"/>
      <c r="CM1" s="1435"/>
      <c r="CN1" s="1435"/>
      <c r="CO1" s="1435"/>
      <c r="CP1" s="1435"/>
      <c r="CQ1" s="1435"/>
      <c r="CR1" s="1438"/>
      <c r="CS1" s="1438"/>
      <c r="CT1" s="1438"/>
      <c r="CU1" s="1438"/>
      <c r="CV1" s="1438"/>
      <c r="CW1" s="1438"/>
      <c r="CX1" s="1435"/>
      <c r="CY1" s="1435"/>
      <c r="CZ1" s="1435"/>
      <c r="FZ1" s="389"/>
    </row>
    <row r="2" spans="1:250" ht="13.8">
      <c r="A2" s="1439"/>
      <c r="B2" s="1439"/>
      <c r="C2" s="1439"/>
      <c r="D2" s="1439"/>
      <c r="E2" s="1439"/>
      <c r="F2" s="1439"/>
      <c r="G2" s="1439"/>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439"/>
      <c r="AI2" s="1439"/>
      <c r="AJ2" s="1439"/>
      <c r="AK2" s="1439"/>
      <c r="AL2" s="1439"/>
      <c r="AM2" s="1439"/>
      <c r="AN2" s="1439"/>
      <c r="AO2" s="1439"/>
      <c r="AP2" s="1439"/>
      <c r="AQ2" s="1439"/>
      <c r="AR2" s="1439"/>
      <c r="AS2" s="1439"/>
      <c r="AT2" s="1439"/>
      <c r="AU2" s="1439"/>
      <c r="AV2" s="1439"/>
      <c r="AW2" s="1439"/>
      <c r="AX2" s="1439"/>
      <c r="AY2" s="1439"/>
      <c r="AZ2" s="1439"/>
      <c r="BA2" s="1439"/>
      <c r="BB2" s="1439"/>
      <c r="BC2" s="1439"/>
      <c r="BD2" s="1439"/>
      <c r="BE2" s="1439"/>
      <c r="BF2" s="1439"/>
      <c r="BG2" s="1439"/>
      <c r="BH2" s="1439"/>
      <c r="BI2" s="1439"/>
      <c r="BJ2" s="1439"/>
      <c r="BK2" s="1439"/>
      <c r="BL2" s="1439"/>
      <c r="BM2" s="1439"/>
      <c r="BN2" s="1439"/>
      <c r="BO2" s="1439"/>
      <c r="BP2" s="1439"/>
      <c r="BQ2" s="1439"/>
      <c r="BR2" s="1439"/>
      <c r="BS2" s="1439"/>
      <c r="BT2" s="1439"/>
      <c r="BU2" s="1439"/>
      <c r="BV2" s="1439"/>
      <c r="BW2" s="1439"/>
      <c r="BX2" s="1439"/>
      <c r="BY2" s="1439"/>
      <c r="BZ2" s="1439"/>
      <c r="CA2" s="1439"/>
      <c r="CB2" s="1439"/>
      <c r="CC2" s="1439"/>
      <c r="CD2" s="1439"/>
      <c r="CE2" s="1439"/>
      <c r="CF2" s="1439"/>
      <c r="CG2" s="1439"/>
      <c r="CH2" s="1439"/>
      <c r="CI2" s="1439"/>
      <c r="CJ2" s="1439"/>
      <c r="CK2" s="1439"/>
      <c r="CL2" s="1439"/>
      <c r="CM2" s="1439"/>
      <c r="CN2" s="1439"/>
      <c r="CO2" s="1439"/>
      <c r="CP2" s="1439"/>
      <c r="CQ2" s="1439"/>
      <c r="CR2" s="1439"/>
      <c r="CS2" s="1439"/>
      <c r="CT2" s="1439"/>
      <c r="CU2" s="1439"/>
      <c r="CV2" s="1439"/>
      <c r="CW2" s="1439"/>
      <c r="CX2" s="1439"/>
      <c r="CY2" s="1439"/>
      <c r="CZ2" s="1439"/>
    </row>
    <row r="3" spans="1:250" ht="14.4" thickBot="1">
      <c r="A3" s="1439"/>
      <c r="B3" s="1440" t="s">
        <v>178</v>
      </c>
      <c r="C3" s="1441"/>
      <c r="D3" s="1442"/>
      <c r="E3" s="1442"/>
      <c r="F3" s="1443"/>
      <c r="G3" s="1443"/>
      <c r="H3" s="1444"/>
      <c r="I3" s="1445"/>
      <c r="J3" s="1445"/>
      <c r="K3" s="1445"/>
      <c r="L3" s="1445"/>
      <c r="M3" s="1445"/>
      <c r="N3" s="1445"/>
      <c r="O3" s="1445"/>
      <c r="P3" s="1445"/>
      <c r="Q3" s="1445"/>
      <c r="R3" s="1445"/>
      <c r="S3" s="1445"/>
      <c r="T3" s="1445"/>
      <c r="U3" s="1445"/>
      <c r="V3" s="1445"/>
      <c r="W3" s="1445"/>
      <c r="X3" s="1445"/>
      <c r="Y3" s="1445"/>
      <c r="Z3" s="1445"/>
      <c r="AA3" s="1445"/>
      <c r="AB3" s="1445"/>
      <c r="AC3" s="1445"/>
      <c r="AD3" s="1445"/>
      <c r="AE3" s="1445"/>
      <c r="AF3" s="1445"/>
      <c r="AG3" s="1445"/>
      <c r="AH3" s="1445"/>
      <c r="AI3" s="1446"/>
      <c r="AJ3" s="1446"/>
      <c r="AK3" s="1446"/>
      <c r="AL3" s="1446"/>
      <c r="AM3" s="1446"/>
      <c r="AN3" s="1446"/>
      <c r="AO3" s="1446"/>
      <c r="AP3" s="1446"/>
      <c r="AQ3" s="1446"/>
      <c r="AR3" s="1446"/>
      <c r="AS3" s="1446"/>
      <c r="AT3" s="1446"/>
      <c r="AU3" s="1445"/>
      <c r="AV3" s="1445"/>
      <c r="AW3" s="1445"/>
      <c r="AX3" s="1445"/>
      <c r="AY3" s="1445"/>
      <c r="AZ3" s="1447"/>
      <c r="BA3" s="1447"/>
      <c r="BB3" s="1447"/>
      <c r="BC3" s="1447"/>
      <c r="BD3" s="1447"/>
      <c r="BE3" s="1447"/>
      <c r="BF3" s="1447"/>
      <c r="BG3" s="1445"/>
      <c r="BH3" s="1445"/>
      <c r="BI3" s="1445"/>
      <c r="BJ3" s="1445"/>
      <c r="BK3" s="1445"/>
      <c r="BL3" s="1445"/>
      <c r="BM3" s="1445"/>
      <c r="BN3" s="1445"/>
      <c r="BO3" s="1445"/>
      <c r="BP3" s="1445"/>
      <c r="BQ3" s="1445"/>
      <c r="BR3" s="1445"/>
      <c r="BS3" s="1445"/>
      <c r="BT3" s="1445"/>
      <c r="BU3" s="1445"/>
      <c r="BV3" s="1445"/>
      <c r="BW3" s="1445"/>
      <c r="BX3" s="1445"/>
      <c r="BY3" s="1445"/>
      <c r="BZ3" s="1445"/>
      <c r="CA3" s="1445"/>
      <c r="CB3" s="1445"/>
      <c r="CC3" s="1445"/>
      <c r="CD3" s="1445"/>
      <c r="CE3" s="1445"/>
      <c r="CF3" s="1445"/>
      <c r="CG3" s="1445"/>
      <c r="CH3" s="1445"/>
      <c r="CI3" s="1445"/>
      <c r="CJ3" s="1445"/>
      <c r="CK3" s="1445"/>
      <c r="CL3" s="1445"/>
      <c r="CM3" s="1445"/>
      <c r="CN3" s="1445"/>
      <c r="CO3" s="1445"/>
      <c r="CP3" s="1445"/>
      <c r="CQ3" s="1448"/>
      <c r="CR3" s="1449"/>
      <c r="CS3" s="1449"/>
      <c r="CT3" s="1450"/>
      <c r="CU3" s="1450"/>
      <c r="CV3" s="2"/>
      <c r="CW3" s="1451"/>
      <c r="CX3" s="1451"/>
      <c r="CY3" s="1452"/>
      <c r="CZ3" s="1452"/>
      <c r="DA3" s="1452"/>
      <c r="DB3" s="1453"/>
      <c r="DC3" s="1452"/>
      <c r="DD3" s="1452"/>
      <c r="DE3" s="1452"/>
      <c r="DF3" s="1452"/>
      <c r="DG3" s="1452"/>
      <c r="DH3" s="1452"/>
      <c r="DI3" s="1452"/>
      <c r="DJ3" s="1452"/>
      <c r="DK3" s="1452"/>
      <c r="DL3" s="1452"/>
      <c r="DM3" s="1452"/>
      <c r="DN3" s="1454"/>
      <c r="DO3" s="1454"/>
      <c r="DP3" s="1454"/>
      <c r="DQ3" s="1454"/>
      <c r="DR3" s="1454"/>
      <c r="DS3" s="1454"/>
      <c r="DT3" s="1454"/>
      <c r="DU3" s="1454"/>
      <c r="DV3" s="1455"/>
      <c r="DW3" s="1452"/>
      <c r="DX3" s="1453"/>
      <c r="DY3" s="1455"/>
      <c r="DZ3" s="1455"/>
      <c r="EA3" s="1455"/>
      <c r="EB3" s="1455"/>
      <c r="EC3" s="1455"/>
      <c r="ED3" s="1455"/>
      <c r="EE3" s="1455"/>
      <c r="EF3" s="1455"/>
      <c r="EG3" s="1455"/>
      <c r="EH3" s="1455"/>
      <c r="EI3" s="1455"/>
      <c r="EJ3" s="1455"/>
      <c r="EK3" s="1455"/>
      <c r="EL3" s="1455"/>
      <c r="EM3" s="1455"/>
      <c r="EN3" s="1455"/>
      <c r="EO3" s="1455"/>
      <c r="EP3" s="1455"/>
      <c r="EQ3" s="1455"/>
      <c r="ER3" s="1455"/>
      <c r="ES3" s="1455"/>
      <c r="ET3" s="1455"/>
      <c r="EU3" s="1455"/>
      <c r="EV3" s="1455"/>
      <c r="EW3" s="1455"/>
      <c r="EX3" s="1455"/>
      <c r="EY3" s="1455"/>
      <c r="EZ3" s="1455"/>
      <c r="FA3" s="1455"/>
      <c r="FB3" s="1455"/>
      <c r="FC3" s="1455"/>
      <c r="FD3" s="1455"/>
      <c r="FE3" s="1455"/>
      <c r="FF3" s="1455"/>
      <c r="FG3" s="1455"/>
      <c r="FH3" s="1455"/>
      <c r="FI3" s="1455"/>
      <c r="FJ3" s="1455"/>
      <c r="FK3" s="1455"/>
      <c r="FL3" s="1455"/>
      <c r="FM3" s="1455"/>
      <c r="FN3" s="1455"/>
      <c r="FO3" s="1455"/>
      <c r="FP3" s="1455"/>
      <c r="FQ3" s="1455"/>
      <c r="FR3" s="1455"/>
      <c r="FS3" s="1455"/>
      <c r="FT3" s="1455"/>
      <c r="FU3" s="1455"/>
      <c r="FV3" s="1455"/>
      <c r="FW3" s="1455"/>
      <c r="FX3" s="1455"/>
      <c r="FY3" s="1455"/>
      <c r="FZ3" s="1455"/>
      <c r="GA3" s="1455"/>
      <c r="GB3" s="1455"/>
      <c r="GC3" s="5683" t="s">
        <v>147</v>
      </c>
      <c r="GD3" s="5684"/>
      <c r="GE3" s="5684"/>
      <c r="GF3" s="5684"/>
      <c r="GG3" s="5684"/>
      <c r="GH3" s="5684"/>
      <c r="GI3" s="5684"/>
      <c r="GJ3" s="5684"/>
      <c r="GK3" s="5684"/>
      <c r="GL3" s="5684"/>
      <c r="GM3" s="5684"/>
      <c r="GN3" s="5684"/>
      <c r="GO3" s="5684"/>
      <c r="GP3" s="5684"/>
    </row>
    <row r="4" spans="1:250" s="53" customFormat="1" ht="25.5" customHeight="1">
      <c r="A4" s="1547"/>
      <c r="B4" s="1548" t="s">
        <v>179</v>
      </c>
      <c r="C4" s="1549"/>
      <c r="D4" s="1550">
        <v>2006</v>
      </c>
      <c r="E4" s="1551"/>
      <c r="F4" s="1551"/>
      <c r="G4" s="1552"/>
      <c r="H4" s="1551"/>
      <c r="I4" s="1551"/>
      <c r="J4" s="1551"/>
      <c r="K4" s="1553">
        <v>2007</v>
      </c>
      <c r="L4" s="1554"/>
      <c r="M4" s="1554"/>
      <c r="N4" s="1555"/>
      <c r="O4" s="1555"/>
      <c r="P4" s="1556"/>
      <c r="Q4" s="1554"/>
      <c r="R4" s="1554"/>
      <c r="S4" s="1554"/>
      <c r="T4" s="1554"/>
      <c r="U4" s="1554"/>
      <c r="V4" s="1554"/>
      <c r="W4" s="1557">
        <v>2008</v>
      </c>
      <c r="X4" s="1558"/>
      <c r="Y4" s="1558"/>
      <c r="Z4" s="1558"/>
      <c r="AA4" s="1558"/>
      <c r="AB4" s="1558"/>
      <c r="AC4" s="1558"/>
      <c r="AD4" s="1558"/>
      <c r="AE4" s="1558"/>
      <c r="AF4" s="1558"/>
      <c r="AG4" s="1558"/>
      <c r="AH4" s="1558"/>
      <c r="AI4" s="1553">
        <v>2009</v>
      </c>
      <c r="AJ4" s="1553"/>
      <c r="AK4" s="1553"/>
      <c r="AL4" s="1553"/>
      <c r="AM4" s="1553"/>
      <c r="AN4" s="1553"/>
      <c r="AO4" s="1553"/>
      <c r="AP4" s="1553"/>
      <c r="AQ4" s="1553"/>
      <c r="AR4" s="1553"/>
      <c r="AS4" s="1553"/>
      <c r="AT4" s="1553"/>
      <c r="AU4" s="1559">
        <v>2010</v>
      </c>
      <c r="AV4" s="1559"/>
      <c r="AW4" s="1559"/>
      <c r="AX4" s="1559"/>
      <c r="AY4" s="1559"/>
      <c r="AZ4" s="1559"/>
      <c r="BA4" s="1559"/>
      <c r="BB4" s="1559"/>
      <c r="BC4" s="1559"/>
      <c r="BD4" s="1559"/>
      <c r="BE4" s="1559"/>
      <c r="BF4" s="1559"/>
      <c r="BG4" s="1560">
        <v>2011</v>
      </c>
      <c r="BH4" s="1560"/>
      <c r="BI4" s="1560"/>
      <c r="BJ4" s="1560"/>
      <c r="BK4" s="1560"/>
      <c r="BL4" s="1560"/>
      <c r="BM4" s="1560"/>
      <c r="BN4" s="1560"/>
      <c r="BO4" s="1560"/>
      <c r="BP4" s="1560"/>
      <c r="BQ4" s="1560"/>
      <c r="BR4" s="1560"/>
      <c r="BS4" s="1559">
        <v>2012</v>
      </c>
      <c r="BT4" s="1559"/>
      <c r="BU4" s="1559"/>
      <c r="BV4" s="1559"/>
      <c r="BW4" s="1559"/>
      <c r="BX4" s="1559"/>
      <c r="BY4" s="1559"/>
      <c r="BZ4" s="1559"/>
      <c r="CA4" s="1559"/>
      <c r="CB4" s="1559"/>
      <c r="CC4" s="1559"/>
      <c r="CD4" s="1559"/>
      <c r="CE4" s="1561">
        <v>2013</v>
      </c>
      <c r="CF4" s="1561"/>
      <c r="CG4" s="1561"/>
      <c r="CH4" s="1561"/>
      <c r="CI4" s="1561"/>
      <c r="CJ4" s="1561"/>
      <c r="CK4" s="1561"/>
      <c r="CL4" s="1561"/>
      <c r="CM4" s="1561"/>
      <c r="CN4" s="1561"/>
      <c r="CO4" s="1561"/>
      <c r="CP4" s="1561"/>
      <c r="CQ4" s="1559">
        <v>2014</v>
      </c>
      <c r="CR4" s="1559"/>
      <c r="CS4" s="1559"/>
      <c r="CT4" s="1559"/>
      <c r="CU4" s="1559"/>
      <c r="CV4" s="1559"/>
      <c r="CW4" s="1559"/>
      <c r="CX4" s="1559"/>
      <c r="CY4" s="1559"/>
      <c r="CZ4" s="1559"/>
      <c r="DA4" s="1559"/>
      <c r="DB4" s="1559"/>
      <c r="DC4" s="1562">
        <v>2015</v>
      </c>
      <c r="DD4" s="1561"/>
      <c r="DE4" s="1561"/>
      <c r="DF4" s="1561"/>
      <c r="DG4" s="1561"/>
      <c r="DH4" s="1561"/>
      <c r="DI4" s="1561"/>
      <c r="DJ4" s="1561"/>
      <c r="DK4" s="1561"/>
      <c r="DL4" s="1561"/>
      <c r="DM4" s="1561"/>
      <c r="DN4" s="1561"/>
      <c r="DO4" s="1563">
        <v>2016</v>
      </c>
      <c r="DP4" s="1564"/>
      <c r="DQ4" s="1564"/>
      <c r="DR4" s="1564"/>
      <c r="DS4" s="1564"/>
      <c r="DT4" s="1564"/>
      <c r="DU4" s="1564"/>
      <c r="DV4" s="1564"/>
      <c r="DW4" s="1564"/>
      <c r="DX4" s="1564"/>
      <c r="DY4" s="1564"/>
      <c r="DZ4" s="1564"/>
      <c r="EA4" s="1565">
        <v>2017</v>
      </c>
      <c r="EB4" s="1566"/>
      <c r="EC4" s="1566"/>
      <c r="ED4" s="1566"/>
      <c r="EE4" s="1566"/>
      <c r="EF4" s="1566"/>
      <c r="EG4" s="1566"/>
      <c r="EH4" s="1566"/>
      <c r="EI4" s="1566"/>
      <c r="EJ4" s="1566"/>
      <c r="EK4" s="1566"/>
      <c r="EL4" s="1566"/>
      <c r="EM4" s="1565">
        <v>2018</v>
      </c>
      <c r="EN4" s="1566"/>
      <c r="EO4" s="1566"/>
      <c r="EP4" s="1566"/>
      <c r="EQ4" s="1566"/>
      <c r="ER4" s="1566"/>
      <c r="ES4" s="1566"/>
      <c r="ET4" s="1566"/>
      <c r="EU4" s="1566"/>
      <c r="EV4" s="1566"/>
      <c r="EW4" s="1566"/>
      <c r="EX4" s="1566"/>
      <c r="EY4" s="1565">
        <v>2019</v>
      </c>
      <c r="EZ4" s="4808">
        <v>2020</v>
      </c>
      <c r="FA4" s="4791">
        <v>2021</v>
      </c>
      <c r="FB4" s="1566"/>
      <c r="FC4" s="1566"/>
      <c r="FD4" s="1566"/>
      <c r="FE4" s="1566"/>
      <c r="FF4" s="1566"/>
      <c r="FG4" s="1566"/>
      <c r="FH4" s="1566"/>
      <c r="FI4" s="1566"/>
      <c r="FJ4" s="1566"/>
      <c r="FK4" s="1566"/>
      <c r="FL4" s="4792"/>
      <c r="FM4" s="1566"/>
      <c r="FN4" s="4791">
        <v>2022</v>
      </c>
      <c r="FO4" s="1566"/>
      <c r="FP4" s="1566"/>
      <c r="FQ4" s="1566"/>
      <c r="FR4" s="1566"/>
      <c r="FS4" s="1566"/>
      <c r="FT4" s="1566"/>
      <c r="FU4" s="1566"/>
      <c r="FV4" s="1566"/>
      <c r="FW4" s="1566"/>
      <c r="FX4" s="1566"/>
      <c r="FY4" s="4792"/>
      <c r="FZ4" s="4800"/>
      <c r="GA4" s="4803" t="s">
        <v>179</v>
      </c>
      <c r="GB4" s="4871"/>
      <c r="GC4" s="4865">
        <v>2006</v>
      </c>
      <c r="GD4" s="4866">
        <v>2007</v>
      </c>
      <c r="GE4" s="4866">
        <v>2008</v>
      </c>
      <c r="GF4" s="4866">
        <v>2009</v>
      </c>
      <c r="GG4" s="4866">
        <v>2010</v>
      </c>
      <c r="GH4" s="4866">
        <v>2011</v>
      </c>
      <c r="GI4" s="4866">
        <v>2012</v>
      </c>
      <c r="GJ4" s="4866">
        <v>2013</v>
      </c>
      <c r="GK4" s="4866">
        <v>2014</v>
      </c>
      <c r="GL4" s="4866">
        <v>2015</v>
      </c>
      <c r="GM4" s="4866">
        <v>2016</v>
      </c>
      <c r="GN4" s="4866" t="s">
        <v>578</v>
      </c>
      <c r="GO4" s="4867" t="s">
        <v>813</v>
      </c>
      <c r="GP4" s="4866">
        <v>2019</v>
      </c>
      <c r="GQ4" s="4866">
        <v>2020</v>
      </c>
      <c r="GR4" s="4866" t="s">
        <v>1419</v>
      </c>
      <c r="GS4" s="4868" t="s">
        <v>1588</v>
      </c>
      <c r="GT4" s="1568"/>
      <c r="GU4" s="1568"/>
      <c r="GV4" s="1568"/>
      <c r="GW4" s="1568"/>
      <c r="GX4" s="1568"/>
      <c r="GY4" s="1568"/>
      <c r="GZ4" s="1568"/>
      <c r="HA4" s="1567"/>
      <c r="HB4" s="1567"/>
      <c r="HC4" s="1567"/>
      <c r="HD4" s="1567"/>
      <c r="HE4" s="1567"/>
      <c r="HF4" s="1567"/>
      <c r="HG4" s="1567"/>
      <c r="HH4" s="1567"/>
      <c r="HI4" s="1567"/>
      <c r="HJ4" s="1568"/>
      <c r="HK4" s="1568"/>
      <c r="HL4" s="1568"/>
      <c r="HM4" s="1568"/>
      <c r="HN4" s="1568"/>
      <c r="HO4" s="1568"/>
      <c r="HP4" s="1568"/>
      <c r="HQ4" s="1568"/>
      <c r="HR4" s="1568"/>
      <c r="HS4" s="1568"/>
      <c r="HT4" s="1568"/>
      <c r="HU4" s="1568"/>
      <c r="HV4" s="1568"/>
      <c r="HW4" s="1568"/>
      <c r="HX4" s="1568"/>
      <c r="HY4" s="1568"/>
      <c r="HZ4" s="1568"/>
      <c r="IA4" s="1568"/>
      <c r="IB4" s="1568"/>
      <c r="IC4" s="1568"/>
      <c r="ID4" s="1568"/>
      <c r="IE4" s="1568"/>
      <c r="IF4" s="1568"/>
      <c r="IG4" s="1568"/>
      <c r="IH4" s="1568"/>
      <c r="II4" s="1568"/>
      <c r="IJ4" s="1568"/>
      <c r="IK4" s="1568"/>
      <c r="IL4" s="1568"/>
      <c r="IM4" s="1568"/>
      <c r="IN4" s="1568"/>
      <c r="IO4" s="1568"/>
      <c r="IP4" s="1568"/>
    </row>
    <row r="5" spans="1:250" ht="13.8">
      <c r="A5" s="1439"/>
      <c r="B5" s="1458" t="s">
        <v>148</v>
      </c>
      <c r="C5" s="1459"/>
      <c r="D5" s="1460" t="s">
        <v>180</v>
      </c>
      <c r="E5" s="1460" t="s">
        <v>181</v>
      </c>
      <c r="F5" s="1460" t="s">
        <v>182</v>
      </c>
      <c r="G5" s="1460" t="s">
        <v>183</v>
      </c>
      <c r="H5" s="1460" t="s">
        <v>184</v>
      </c>
      <c r="I5" s="1460" t="s">
        <v>185</v>
      </c>
      <c r="J5" s="1460" t="s">
        <v>186</v>
      </c>
      <c r="K5" s="1461" t="s">
        <v>36</v>
      </c>
      <c r="L5" s="1461" t="s">
        <v>187</v>
      </c>
      <c r="M5" s="1461" t="s">
        <v>38</v>
      </c>
      <c r="N5" s="1461" t="s">
        <v>188</v>
      </c>
      <c r="O5" s="1461" t="s">
        <v>189</v>
      </c>
      <c r="P5" s="1461" t="s">
        <v>180</v>
      </c>
      <c r="Q5" s="1461" t="s">
        <v>181</v>
      </c>
      <c r="R5" s="1461" t="s">
        <v>182</v>
      </c>
      <c r="S5" s="1461" t="s">
        <v>183</v>
      </c>
      <c r="T5" s="1461" t="s">
        <v>184</v>
      </c>
      <c r="U5" s="1461" t="s">
        <v>185</v>
      </c>
      <c r="V5" s="1461" t="s">
        <v>186</v>
      </c>
      <c r="W5" s="1462" t="s">
        <v>36</v>
      </c>
      <c r="X5" s="1462" t="s">
        <v>187</v>
      </c>
      <c r="Y5" s="1462" t="s">
        <v>38</v>
      </c>
      <c r="Z5" s="1462" t="s">
        <v>188</v>
      </c>
      <c r="AA5" s="1462" t="s">
        <v>189</v>
      </c>
      <c r="AB5" s="1462" t="s">
        <v>180</v>
      </c>
      <c r="AC5" s="1462" t="s">
        <v>181</v>
      </c>
      <c r="AD5" s="1462" t="s">
        <v>182</v>
      </c>
      <c r="AE5" s="1462" t="s">
        <v>183</v>
      </c>
      <c r="AF5" s="1462" t="s">
        <v>184</v>
      </c>
      <c r="AG5" s="1462" t="s">
        <v>185</v>
      </c>
      <c r="AH5" s="1462" t="s">
        <v>186</v>
      </c>
      <c r="AI5" s="1461" t="s">
        <v>36</v>
      </c>
      <c r="AJ5" s="1461" t="s">
        <v>187</v>
      </c>
      <c r="AK5" s="1461" t="s">
        <v>38</v>
      </c>
      <c r="AL5" s="1461" t="s">
        <v>39</v>
      </c>
      <c r="AM5" s="1461" t="s">
        <v>40</v>
      </c>
      <c r="AN5" s="1461" t="s">
        <v>41</v>
      </c>
      <c r="AO5" s="1461" t="s">
        <v>42</v>
      </c>
      <c r="AP5" s="1461" t="s">
        <v>43</v>
      </c>
      <c r="AQ5" s="1461" t="s">
        <v>44</v>
      </c>
      <c r="AR5" s="1461" t="s">
        <v>45</v>
      </c>
      <c r="AS5" s="1461" t="s">
        <v>46</v>
      </c>
      <c r="AT5" s="1461" t="s">
        <v>47</v>
      </c>
      <c r="AU5" s="1463" t="s">
        <v>36</v>
      </c>
      <c r="AV5" s="1463" t="s">
        <v>37</v>
      </c>
      <c r="AW5" s="1463" t="s">
        <v>38</v>
      </c>
      <c r="AX5" s="1463" t="s">
        <v>39</v>
      </c>
      <c r="AY5" s="1463" t="s">
        <v>40</v>
      </c>
      <c r="AZ5" s="1463" t="s">
        <v>41</v>
      </c>
      <c r="BA5" s="1463" t="s">
        <v>42</v>
      </c>
      <c r="BB5" s="1463" t="s">
        <v>43</v>
      </c>
      <c r="BC5" s="1463" t="s">
        <v>44</v>
      </c>
      <c r="BD5" s="1463" t="s">
        <v>45</v>
      </c>
      <c r="BE5" s="1463" t="s">
        <v>46</v>
      </c>
      <c r="BF5" s="1463" t="s">
        <v>47</v>
      </c>
      <c r="BG5" s="1461" t="s">
        <v>36</v>
      </c>
      <c r="BH5" s="1461" t="s">
        <v>37</v>
      </c>
      <c r="BI5" s="1461" t="s">
        <v>38</v>
      </c>
      <c r="BJ5" s="1461" t="s">
        <v>39</v>
      </c>
      <c r="BK5" s="1461" t="s">
        <v>40</v>
      </c>
      <c r="BL5" s="1461" t="s">
        <v>41</v>
      </c>
      <c r="BM5" s="1461" t="s">
        <v>42</v>
      </c>
      <c r="BN5" s="1461" t="s">
        <v>43</v>
      </c>
      <c r="BO5" s="1461" t="s">
        <v>44</v>
      </c>
      <c r="BP5" s="1461" t="s">
        <v>45</v>
      </c>
      <c r="BQ5" s="1461" t="s">
        <v>46</v>
      </c>
      <c r="BR5" s="1461" t="s">
        <v>47</v>
      </c>
      <c r="BS5" s="1463" t="s">
        <v>36</v>
      </c>
      <c r="BT5" s="1463" t="s">
        <v>37</v>
      </c>
      <c r="BU5" s="1463" t="s">
        <v>38</v>
      </c>
      <c r="BV5" s="1463" t="s">
        <v>39</v>
      </c>
      <c r="BW5" s="1463" t="s">
        <v>40</v>
      </c>
      <c r="BX5" s="1463" t="s">
        <v>41</v>
      </c>
      <c r="BY5" s="1463" t="s">
        <v>42</v>
      </c>
      <c r="BZ5" s="1463" t="s">
        <v>43</v>
      </c>
      <c r="CA5" s="1463" t="s">
        <v>44</v>
      </c>
      <c r="CB5" s="1463" t="s">
        <v>45</v>
      </c>
      <c r="CC5" s="1463" t="s">
        <v>46</v>
      </c>
      <c r="CD5" s="1463" t="s">
        <v>47</v>
      </c>
      <c r="CE5" s="1464" t="s">
        <v>36</v>
      </c>
      <c r="CF5" s="1464" t="s">
        <v>37</v>
      </c>
      <c r="CG5" s="1464" t="s">
        <v>38</v>
      </c>
      <c r="CH5" s="1464" t="s">
        <v>39</v>
      </c>
      <c r="CI5" s="1464" t="s">
        <v>40</v>
      </c>
      <c r="CJ5" s="1464" t="s">
        <v>41</v>
      </c>
      <c r="CK5" s="1464" t="s">
        <v>42</v>
      </c>
      <c r="CL5" s="1464" t="s">
        <v>43</v>
      </c>
      <c r="CM5" s="1464" t="s">
        <v>44</v>
      </c>
      <c r="CN5" s="1464" t="s">
        <v>45</v>
      </c>
      <c r="CO5" s="1464" t="s">
        <v>46</v>
      </c>
      <c r="CP5" s="1464" t="s">
        <v>47</v>
      </c>
      <c r="CQ5" s="1463" t="s">
        <v>36</v>
      </c>
      <c r="CR5" s="1463" t="s">
        <v>37</v>
      </c>
      <c r="CS5" s="1463" t="s">
        <v>38</v>
      </c>
      <c r="CT5" s="1463" t="s">
        <v>39</v>
      </c>
      <c r="CU5" s="1463" t="s">
        <v>40</v>
      </c>
      <c r="CV5" s="1463" t="s">
        <v>41</v>
      </c>
      <c r="CW5" s="1463" t="s">
        <v>42</v>
      </c>
      <c r="CX5" s="1463" t="s">
        <v>43</v>
      </c>
      <c r="CY5" s="1463" t="s">
        <v>44</v>
      </c>
      <c r="CZ5" s="1463" t="s">
        <v>45</v>
      </c>
      <c r="DA5" s="1463" t="s">
        <v>46</v>
      </c>
      <c r="DB5" s="1463" t="s">
        <v>47</v>
      </c>
      <c r="DC5" s="1501" t="s">
        <v>36</v>
      </c>
      <c r="DD5" s="1464" t="s">
        <v>37</v>
      </c>
      <c r="DE5" s="1464" t="s">
        <v>38</v>
      </c>
      <c r="DF5" s="1464" t="s">
        <v>39</v>
      </c>
      <c r="DG5" s="1464" t="s">
        <v>40</v>
      </c>
      <c r="DH5" s="1464" t="s">
        <v>41</v>
      </c>
      <c r="DI5" s="1464" t="s">
        <v>42</v>
      </c>
      <c r="DJ5" s="1464" t="s">
        <v>43</v>
      </c>
      <c r="DK5" s="1464" t="s">
        <v>44</v>
      </c>
      <c r="DL5" s="1464" t="s">
        <v>45</v>
      </c>
      <c r="DM5" s="1464" t="s">
        <v>46</v>
      </c>
      <c r="DN5" s="1464" t="s">
        <v>47</v>
      </c>
      <c r="DO5" s="1505" t="s">
        <v>36</v>
      </c>
      <c r="DP5" s="1465" t="s">
        <v>37</v>
      </c>
      <c r="DQ5" s="1465" t="s">
        <v>38</v>
      </c>
      <c r="DR5" s="1465" t="s">
        <v>39</v>
      </c>
      <c r="DS5" s="1465" t="s">
        <v>40</v>
      </c>
      <c r="DT5" s="1465" t="s">
        <v>41</v>
      </c>
      <c r="DU5" s="1465" t="s">
        <v>42</v>
      </c>
      <c r="DV5" s="1465" t="s">
        <v>1071</v>
      </c>
      <c r="DW5" s="1465" t="s">
        <v>44</v>
      </c>
      <c r="DX5" s="1465" t="s">
        <v>45</v>
      </c>
      <c r="DY5" s="1465" t="s">
        <v>46</v>
      </c>
      <c r="DZ5" s="1465" t="s">
        <v>47</v>
      </c>
      <c r="EA5" s="1508" t="s">
        <v>36</v>
      </c>
      <c r="EB5" s="1466" t="s">
        <v>37</v>
      </c>
      <c r="EC5" s="1601" t="s">
        <v>38</v>
      </c>
      <c r="ED5" s="1601" t="s">
        <v>39</v>
      </c>
      <c r="EE5" s="1601" t="s">
        <v>40</v>
      </c>
      <c r="EF5" s="1601" t="s">
        <v>41</v>
      </c>
      <c r="EG5" s="1601" t="s">
        <v>42</v>
      </c>
      <c r="EH5" s="1601" t="s">
        <v>1071</v>
      </c>
      <c r="EI5" s="1601" t="s">
        <v>44</v>
      </c>
      <c r="EJ5" s="1601" t="s">
        <v>45</v>
      </c>
      <c r="EK5" s="1601" t="s">
        <v>46</v>
      </c>
      <c r="EL5" s="1601" t="s">
        <v>47</v>
      </c>
      <c r="EM5" s="1508" t="s">
        <v>36</v>
      </c>
      <c r="EN5" s="1466" t="s">
        <v>37</v>
      </c>
      <c r="EO5" s="1601" t="s">
        <v>38</v>
      </c>
      <c r="EP5" s="1601" t="s">
        <v>39</v>
      </c>
      <c r="EQ5" s="1601" t="s">
        <v>40</v>
      </c>
      <c r="ER5" s="1601" t="s">
        <v>41</v>
      </c>
      <c r="ES5" s="1601" t="s">
        <v>42</v>
      </c>
      <c r="ET5" s="1601" t="s">
        <v>1071</v>
      </c>
      <c r="EU5" s="1601" t="s">
        <v>44</v>
      </c>
      <c r="EV5" s="1601" t="s">
        <v>45</v>
      </c>
      <c r="EW5" s="1601" t="s">
        <v>46</v>
      </c>
      <c r="EX5" s="1601" t="s">
        <v>47</v>
      </c>
      <c r="EY5" s="1508" t="s">
        <v>36</v>
      </c>
      <c r="EZ5" s="4807"/>
      <c r="FA5" s="4793" t="s">
        <v>36</v>
      </c>
      <c r="FB5" s="4793" t="s">
        <v>37</v>
      </c>
      <c r="FC5" s="4793" t="s">
        <v>38</v>
      </c>
      <c r="FD5" s="4793" t="s">
        <v>39</v>
      </c>
      <c r="FE5" s="4793" t="s">
        <v>40</v>
      </c>
      <c r="FF5" s="4793" t="s">
        <v>41</v>
      </c>
      <c r="FG5" s="4793" t="s">
        <v>42</v>
      </c>
      <c r="FH5" s="4793" t="s">
        <v>43</v>
      </c>
      <c r="FI5" s="4793" t="s">
        <v>44</v>
      </c>
      <c r="FJ5" s="4793" t="s">
        <v>45</v>
      </c>
      <c r="FK5" s="4793" t="s">
        <v>46</v>
      </c>
      <c r="FL5" s="4807" t="s">
        <v>47</v>
      </c>
      <c r="FM5" s="1466"/>
      <c r="FN5" s="4793" t="s">
        <v>36</v>
      </c>
      <c r="FO5" s="4793" t="s">
        <v>37</v>
      </c>
      <c r="FP5" s="4793" t="s">
        <v>38</v>
      </c>
      <c r="FQ5" s="4793" t="s">
        <v>39</v>
      </c>
      <c r="FR5" s="4793" t="s">
        <v>40</v>
      </c>
      <c r="FS5" s="4793" t="s">
        <v>41</v>
      </c>
      <c r="FT5" s="4793" t="s">
        <v>42</v>
      </c>
      <c r="FU5" s="4793" t="s">
        <v>43</v>
      </c>
      <c r="FV5" s="4793" t="s">
        <v>44</v>
      </c>
      <c r="FW5" s="4793" t="s">
        <v>45</v>
      </c>
      <c r="FX5" s="4793" t="s">
        <v>46</v>
      </c>
      <c r="FY5" s="4807" t="s">
        <v>47</v>
      </c>
      <c r="FZ5" s="4801"/>
      <c r="GA5" s="4804" t="s">
        <v>148</v>
      </c>
      <c r="GB5" s="4872"/>
      <c r="GC5" s="1606" t="s">
        <v>149</v>
      </c>
      <c r="GD5" s="1467" t="s">
        <v>48</v>
      </c>
      <c r="GE5" s="1467" t="s">
        <v>48</v>
      </c>
      <c r="GF5" s="1467" t="s">
        <v>48</v>
      </c>
      <c r="GG5" s="1467" t="s">
        <v>48</v>
      </c>
      <c r="GH5" s="1467" t="s">
        <v>48</v>
      </c>
      <c r="GI5" s="1467" t="s">
        <v>150</v>
      </c>
      <c r="GJ5" s="1467" t="s">
        <v>150</v>
      </c>
      <c r="GK5" s="1467" t="s">
        <v>150</v>
      </c>
      <c r="GL5" s="1467" t="s">
        <v>150</v>
      </c>
      <c r="GM5" s="1467" t="s">
        <v>150</v>
      </c>
      <c r="GN5" s="1543" t="s">
        <v>576</v>
      </c>
      <c r="GO5" s="1543" t="s">
        <v>576</v>
      </c>
      <c r="GP5" s="1001" t="s">
        <v>48</v>
      </c>
      <c r="GQ5" s="1001" t="s">
        <v>48</v>
      </c>
      <c r="GR5" s="1001" t="s">
        <v>48</v>
      </c>
      <c r="GS5" s="4869" t="s">
        <v>1960</v>
      </c>
      <c r="GT5" s="1454"/>
      <c r="GU5" s="1454"/>
      <c r="GV5" s="1454"/>
      <c r="GW5" s="1454"/>
      <c r="GX5" s="1454"/>
      <c r="GY5" s="1454"/>
      <c r="GZ5" s="1454"/>
      <c r="HA5" s="1454"/>
      <c r="HB5" s="1454"/>
      <c r="HC5" s="1454"/>
      <c r="HD5" s="1454"/>
      <c r="HE5" s="1454"/>
      <c r="HF5" s="1454"/>
      <c r="HG5" s="1454"/>
      <c r="HH5" s="1454"/>
      <c r="HI5" s="1454"/>
      <c r="HJ5" s="1454"/>
      <c r="HK5" s="1454"/>
      <c r="HL5" s="1454"/>
      <c r="HM5" s="1454"/>
      <c r="HN5" s="1454"/>
      <c r="HO5" s="1454"/>
      <c r="HP5" s="1454"/>
      <c r="HQ5" s="1454"/>
      <c r="HR5" s="1454"/>
      <c r="HS5" s="1454"/>
      <c r="HT5" s="1454"/>
      <c r="HU5" s="1454"/>
      <c r="HV5" s="1454"/>
      <c r="HW5" s="1454"/>
      <c r="HX5" s="1454"/>
      <c r="HY5" s="1454"/>
      <c r="HZ5" s="1454"/>
      <c r="IA5" s="1454"/>
      <c r="IB5" s="1454"/>
      <c r="IC5" s="1454"/>
      <c r="ID5" s="1454"/>
      <c r="IE5" s="1454"/>
      <c r="IF5" s="1454"/>
      <c r="IG5" s="1454"/>
      <c r="IH5" s="1454"/>
      <c r="II5" s="1454"/>
      <c r="IJ5" s="1454"/>
      <c r="IK5" s="1454"/>
      <c r="IL5" s="1454"/>
      <c r="IM5" s="1454"/>
      <c r="IN5" s="1454"/>
      <c r="IO5" s="1454"/>
      <c r="IP5" s="1454"/>
    </row>
    <row r="6" spans="1:250" ht="13.8">
      <c r="A6" s="1439"/>
      <c r="B6" s="1468"/>
      <c r="C6" s="1459"/>
      <c r="D6" s="1460"/>
      <c r="E6" s="1460"/>
      <c r="F6" s="1460"/>
      <c r="G6" s="1460"/>
      <c r="H6" s="1460"/>
      <c r="I6" s="1460"/>
      <c r="J6" s="1460"/>
      <c r="K6" s="1461"/>
      <c r="L6" s="1461"/>
      <c r="M6" s="1461"/>
      <c r="N6" s="1461"/>
      <c r="O6" s="1461"/>
      <c r="P6" s="1461"/>
      <c r="Q6" s="1461"/>
      <c r="R6" s="1461"/>
      <c r="S6" s="1461"/>
      <c r="T6" s="1461"/>
      <c r="U6" s="1461"/>
      <c r="V6" s="1461"/>
      <c r="W6" s="1462"/>
      <c r="X6" s="1462"/>
      <c r="Y6" s="1462"/>
      <c r="Z6" s="1462"/>
      <c r="AA6" s="1462"/>
      <c r="AB6" s="1462"/>
      <c r="AC6" s="1462"/>
      <c r="AD6" s="1462"/>
      <c r="AE6" s="1462"/>
      <c r="AF6" s="1462"/>
      <c r="AG6" s="1462"/>
      <c r="AH6" s="1462"/>
      <c r="AI6" s="1461"/>
      <c r="AJ6" s="1461"/>
      <c r="AK6" s="1461"/>
      <c r="AL6" s="1461"/>
      <c r="AM6" s="1461"/>
      <c r="AN6" s="1461"/>
      <c r="AO6" s="1461"/>
      <c r="AP6" s="1461"/>
      <c r="AQ6" s="1461"/>
      <c r="AR6" s="1461"/>
      <c r="AS6" s="1461"/>
      <c r="AT6" s="1461"/>
      <c r="AU6" s="1469"/>
      <c r="AV6" s="1469"/>
      <c r="AW6" s="1469"/>
      <c r="AX6" s="1469"/>
      <c r="AY6" s="1469"/>
      <c r="AZ6" s="1469"/>
      <c r="BA6" s="1469"/>
      <c r="BB6" s="1469"/>
      <c r="BC6" s="1469"/>
      <c r="BD6" s="1469"/>
      <c r="BE6" s="1469"/>
      <c r="BF6" s="1469"/>
      <c r="BG6" s="1470"/>
      <c r="BH6" s="1470"/>
      <c r="BI6" s="1470"/>
      <c r="BJ6" s="1470"/>
      <c r="BK6" s="1470"/>
      <c r="BL6" s="1470"/>
      <c r="BM6" s="1470"/>
      <c r="BN6" s="1470"/>
      <c r="BO6" s="1470"/>
      <c r="BP6" s="1470"/>
      <c r="BQ6" s="1470"/>
      <c r="BR6" s="1470"/>
      <c r="BS6" s="1469"/>
      <c r="BT6" s="1469"/>
      <c r="BU6" s="1469"/>
      <c r="BV6" s="1469"/>
      <c r="BW6" s="1469"/>
      <c r="BX6" s="1469"/>
      <c r="BY6" s="1469"/>
      <c r="BZ6" s="1469"/>
      <c r="CA6" s="1469"/>
      <c r="CB6" s="1469"/>
      <c r="CC6" s="1469"/>
      <c r="CD6" s="1469"/>
      <c r="CE6" s="1471"/>
      <c r="CF6" s="1471"/>
      <c r="CG6" s="1471"/>
      <c r="CH6" s="1471"/>
      <c r="CI6" s="1471"/>
      <c r="CJ6" s="1471"/>
      <c r="CK6" s="1471"/>
      <c r="CL6" s="1471"/>
      <c r="CM6" s="1471"/>
      <c r="CN6" s="1471"/>
      <c r="CO6" s="1471"/>
      <c r="CP6" s="1471"/>
      <c r="CQ6" s="1469"/>
      <c r="CR6" s="1469"/>
      <c r="CS6" s="1469"/>
      <c r="CT6" s="1469"/>
      <c r="CU6" s="1469"/>
      <c r="CV6" s="1469"/>
      <c r="CW6" s="1469"/>
      <c r="CX6" s="1469"/>
      <c r="CY6" s="1469"/>
      <c r="CZ6" s="1469"/>
      <c r="DA6" s="1469"/>
      <c r="DB6" s="1469"/>
      <c r="DC6" s="1502"/>
      <c r="DD6" s="1471"/>
      <c r="DE6" s="1471"/>
      <c r="DF6" s="1471"/>
      <c r="DG6" s="1471"/>
      <c r="DH6" s="1471"/>
      <c r="DI6" s="1471"/>
      <c r="DJ6" s="1471"/>
      <c r="DK6" s="1471"/>
      <c r="DL6" s="1471"/>
      <c r="DM6" s="1471"/>
      <c r="DN6" s="1471"/>
      <c r="DO6" s="1506"/>
      <c r="DP6" s="1472"/>
      <c r="DQ6" s="1472"/>
      <c r="DR6" s="1472"/>
      <c r="DS6" s="1472"/>
      <c r="DT6" s="1472"/>
      <c r="DU6" s="1472"/>
      <c r="DV6" s="1472"/>
      <c r="DW6" s="1472"/>
      <c r="DX6" s="1472"/>
      <c r="DY6" s="1472"/>
      <c r="DZ6" s="1472"/>
      <c r="EA6" s="1506"/>
      <c r="EB6" s="1472"/>
      <c r="EC6" s="1472"/>
      <c r="ED6" s="1472"/>
      <c r="EE6" s="1472"/>
      <c r="EF6" s="1472"/>
      <c r="EG6" s="1472"/>
      <c r="EH6" s="1472"/>
      <c r="EI6" s="1472"/>
      <c r="EJ6" s="1472"/>
      <c r="EK6" s="1472"/>
      <c r="EL6" s="1472"/>
      <c r="EM6" s="1506"/>
      <c r="EN6" s="1472"/>
      <c r="EO6" s="1472"/>
      <c r="EP6" s="1472"/>
      <c r="EQ6" s="1472"/>
      <c r="ER6" s="1472"/>
      <c r="ES6" s="1472"/>
      <c r="ET6" s="1472"/>
      <c r="EU6" s="1472"/>
      <c r="EV6" s="1472"/>
      <c r="EW6" s="1472"/>
      <c r="EX6" s="1472"/>
      <c r="EY6" s="1506"/>
      <c r="EZ6" s="4809"/>
      <c r="FA6" s="4794"/>
      <c r="FB6" s="1472"/>
      <c r="FC6" s="1472"/>
      <c r="FD6" s="1472"/>
      <c r="FE6" s="1472"/>
      <c r="FF6" s="1472"/>
      <c r="FG6" s="1472"/>
      <c r="FH6" s="1472"/>
      <c r="FI6" s="1472"/>
      <c r="FJ6" s="1472"/>
      <c r="FK6" s="1472"/>
      <c r="FL6" s="4795"/>
      <c r="FM6" s="1472"/>
      <c r="FN6" s="4794"/>
      <c r="FO6" s="1472"/>
      <c r="FP6" s="1472"/>
      <c r="FQ6" s="1472"/>
      <c r="FR6" s="1472"/>
      <c r="FS6" s="1472"/>
      <c r="FT6" s="1472"/>
      <c r="FU6" s="1472"/>
      <c r="FV6" s="1472"/>
      <c r="FW6" s="1472"/>
      <c r="FX6" s="1472"/>
      <c r="FY6" s="4795"/>
      <c r="FZ6" s="1472"/>
      <c r="GA6" s="4805"/>
      <c r="GB6" s="4873"/>
      <c r="GC6" s="1607"/>
      <c r="GD6" s="1473"/>
      <c r="GE6" s="1473"/>
      <c r="GF6" s="1473"/>
      <c r="GG6" s="1473"/>
      <c r="GH6" s="1473"/>
      <c r="GI6" s="1473"/>
      <c r="GJ6" s="1473"/>
      <c r="GK6" s="1473"/>
      <c r="GL6" s="1473"/>
      <c r="GM6" s="1473"/>
      <c r="GN6" s="1473"/>
      <c r="GO6" s="1544"/>
      <c r="GP6" s="1473"/>
      <c r="GQ6" s="1473"/>
      <c r="GR6" s="1473"/>
      <c r="GS6" s="4870"/>
      <c r="GT6" s="1454"/>
      <c r="GU6" s="1454"/>
      <c r="GV6" s="1454"/>
      <c r="GW6" s="1454"/>
      <c r="GX6" s="1454"/>
      <c r="GY6" s="1454"/>
      <c r="GZ6" s="1454"/>
      <c r="HA6" s="1454"/>
      <c r="HB6" s="1454"/>
      <c r="HC6" s="1454"/>
      <c r="HD6" s="1454"/>
      <c r="HE6" s="1454"/>
      <c r="HF6" s="1454"/>
      <c r="HG6" s="1454"/>
      <c r="HH6" s="1454"/>
      <c r="HI6" s="1454"/>
      <c r="HJ6" s="1454"/>
      <c r="HK6" s="1454"/>
      <c r="HL6" s="1454"/>
      <c r="HM6" s="1454"/>
      <c r="HN6" s="1454"/>
      <c r="HO6" s="1454"/>
      <c r="HP6" s="1454"/>
      <c r="HQ6" s="1454"/>
      <c r="HR6" s="1454"/>
      <c r="HS6" s="1454"/>
      <c r="HT6" s="1454"/>
      <c r="HU6" s="1454"/>
      <c r="HV6" s="1454"/>
      <c r="HW6" s="1454"/>
      <c r="HX6" s="1454"/>
      <c r="HY6" s="1454"/>
      <c r="HZ6" s="1454"/>
      <c r="IA6" s="1454"/>
      <c r="IB6" s="1454"/>
      <c r="IC6" s="1454"/>
      <c r="ID6" s="1454"/>
      <c r="IE6" s="1454"/>
      <c r="IF6" s="1454"/>
      <c r="IG6" s="1454"/>
      <c r="IH6" s="1454"/>
      <c r="II6" s="1454"/>
      <c r="IJ6" s="1454"/>
      <c r="IK6" s="1454"/>
      <c r="IL6" s="1454"/>
      <c r="IM6" s="1454"/>
      <c r="IN6" s="1454"/>
      <c r="IO6" s="1454"/>
      <c r="IP6" s="1454"/>
    </row>
    <row r="7" spans="1:250" s="1536" customFormat="1" ht="13.8">
      <c r="A7" s="1511"/>
      <c r="B7" s="1509"/>
      <c r="C7" s="1510" t="s">
        <v>32</v>
      </c>
      <c r="D7" s="1512">
        <v>45.354991523505902</v>
      </c>
      <c r="E7" s="1513">
        <v>49.3347963832042</v>
      </c>
      <c r="F7" s="1513">
        <v>46.82747578860905</v>
      </c>
      <c r="G7" s="1513">
        <v>51.648411919542788</v>
      </c>
      <c r="H7" s="1513">
        <v>50.745314250653571</v>
      </c>
      <c r="I7" s="1513">
        <v>48.656137536849421</v>
      </c>
      <c r="J7" s="1514">
        <v>45.436904984132909</v>
      </c>
      <c r="K7" s="1515">
        <v>49.672226040848372</v>
      </c>
      <c r="L7" s="1516">
        <v>48.779385025189647</v>
      </c>
      <c r="M7" s="1516">
        <v>49.267541524415961</v>
      </c>
      <c r="N7" s="1516">
        <v>47.806372344295177</v>
      </c>
      <c r="O7" s="1516">
        <v>48.650531140362432</v>
      </c>
      <c r="P7" s="1516">
        <v>50.857958974485641</v>
      </c>
      <c r="Q7" s="1516">
        <v>49.680798395352738</v>
      </c>
      <c r="R7" s="1516">
        <v>48.466501241295788</v>
      </c>
      <c r="S7" s="1516">
        <v>53.225324283559587</v>
      </c>
      <c r="T7" s="1516">
        <v>51.618410031653269</v>
      </c>
      <c r="U7" s="1516">
        <v>50.622973255328041</v>
      </c>
      <c r="V7" s="1517">
        <v>48.117804555363428</v>
      </c>
      <c r="W7" s="1512">
        <v>50.220688554175055</v>
      </c>
      <c r="X7" s="1513">
        <v>55.163374571006109</v>
      </c>
      <c r="Y7" s="1513">
        <v>53.105907068387332</v>
      </c>
      <c r="Z7" s="1513">
        <v>54.542482331139354</v>
      </c>
      <c r="AA7" s="1513">
        <v>54.238855886132228</v>
      </c>
      <c r="AB7" s="1513">
        <v>55.407459508644223</v>
      </c>
      <c r="AC7" s="1513">
        <v>54.137631897711969</v>
      </c>
      <c r="AD7" s="1513">
        <v>53.205026785925014</v>
      </c>
      <c r="AE7" s="1513">
        <v>56.830067733540865</v>
      </c>
      <c r="AF7" s="1513">
        <v>58.041173192967463</v>
      </c>
      <c r="AG7" s="1513">
        <v>57.683805096100542</v>
      </c>
      <c r="AH7" s="1514">
        <v>54.356085771795556</v>
      </c>
      <c r="AI7" s="1518">
        <v>52.023622431541959</v>
      </c>
      <c r="AJ7" s="1519">
        <v>54.125815199835564</v>
      </c>
      <c r="AK7" s="1519">
        <v>55.570077161494453</v>
      </c>
      <c r="AL7" s="1519">
        <v>54.485315605338954</v>
      </c>
      <c r="AM7" s="1519">
        <v>51.944736813366809</v>
      </c>
      <c r="AN7" s="1519">
        <v>53.012039696870211</v>
      </c>
      <c r="AO7" s="1519">
        <v>52.398791307605848</v>
      </c>
      <c r="AP7" s="1519">
        <v>54.051287487139106</v>
      </c>
      <c r="AQ7" s="1519">
        <v>54.584326860617786</v>
      </c>
      <c r="AR7" s="1519">
        <v>55.582602263713831</v>
      </c>
      <c r="AS7" s="1519">
        <v>54.996763255394796</v>
      </c>
      <c r="AT7" s="1520">
        <v>49.568027358116879</v>
      </c>
      <c r="AU7" s="1515">
        <v>54.361183610307464</v>
      </c>
      <c r="AV7" s="1516">
        <v>57.175844978501239</v>
      </c>
      <c r="AW7" s="1516">
        <v>57.809979575452765</v>
      </c>
      <c r="AX7" s="1516">
        <v>55.572790644753489</v>
      </c>
      <c r="AY7" s="1516">
        <v>57.034168207024045</v>
      </c>
      <c r="AZ7" s="1516">
        <v>57.073838299418625</v>
      </c>
      <c r="BA7" s="1516">
        <v>56.928096618020177</v>
      </c>
      <c r="BB7" s="1516">
        <v>56.272585844345151</v>
      </c>
      <c r="BC7" s="1516">
        <v>55.960112151417015</v>
      </c>
      <c r="BD7" s="1516">
        <v>57.745355501786932</v>
      </c>
      <c r="BE7" s="1516">
        <v>56.623313324637223</v>
      </c>
      <c r="BF7" s="1516">
        <v>58.677996762649087</v>
      </c>
      <c r="BG7" s="1521">
        <v>56.835504663623723</v>
      </c>
      <c r="BH7" s="1522">
        <v>60.819767119101591</v>
      </c>
      <c r="BI7" s="1522">
        <v>60.487809366493728</v>
      </c>
      <c r="BJ7" s="1522">
        <v>56.430534546236672</v>
      </c>
      <c r="BK7" s="1522">
        <v>57.471709478153038</v>
      </c>
      <c r="BL7" s="1522">
        <v>57.902127121876788</v>
      </c>
      <c r="BM7" s="1522">
        <v>58.395446760729492</v>
      </c>
      <c r="BN7" s="1522">
        <v>58.91830801239184</v>
      </c>
      <c r="BO7" s="1522">
        <v>58.663322941842708</v>
      </c>
      <c r="BP7" s="1522">
        <v>59.090717132344096</v>
      </c>
      <c r="BQ7" s="1522">
        <v>63.98615201058697</v>
      </c>
      <c r="BR7" s="1523">
        <v>63.04941535829925</v>
      </c>
      <c r="BS7" s="1524">
        <v>64.615701571230247</v>
      </c>
      <c r="BT7" s="1525">
        <v>67.684043029606514</v>
      </c>
      <c r="BU7" s="1525">
        <v>69.390421062646666</v>
      </c>
      <c r="BV7" s="1525">
        <v>67.991833200707873</v>
      </c>
      <c r="BW7" s="1525">
        <v>64.593272089421774</v>
      </c>
      <c r="BX7" s="1525">
        <v>65.704860083398074</v>
      </c>
      <c r="BY7" s="1525">
        <v>63.623985286347207</v>
      </c>
      <c r="BZ7" s="1525">
        <v>62.87087391491719</v>
      </c>
      <c r="CA7" s="1525">
        <v>64.484068985212929</v>
      </c>
      <c r="CB7" s="1525">
        <v>67.372563528183491</v>
      </c>
      <c r="CC7" s="1525">
        <v>68.917867435158499</v>
      </c>
      <c r="CD7" s="1525">
        <v>72.284458979225306</v>
      </c>
      <c r="CE7" s="1526">
        <v>72.052204875053135</v>
      </c>
      <c r="CF7" s="1526">
        <v>77.429037031946251</v>
      </c>
      <c r="CG7" s="1526">
        <v>83.138671907819727</v>
      </c>
      <c r="CH7" s="1526">
        <v>64.885820169183376</v>
      </c>
      <c r="CI7" s="1526">
        <v>68.055627421854794</v>
      </c>
      <c r="CJ7" s="1526">
        <v>69.668789306847017</v>
      </c>
      <c r="CK7" s="1526">
        <v>69.414229199820483</v>
      </c>
      <c r="CL7" s="1526">
        <v>67.770541532123957</v>
      </c>
      <c r="CM7" s="1526">
        <v>69.036603635927506</v>
      </c>
      <c r="CN7" s="1526">
        <v>69.265451512985507</v>
      </c>
      <c r="CO7" s="1526">
        <v>71.053971990524133</v>
      </c>
      <c r="CP7" s="1527">
        <v>67.601332781163109</v>
      </c>
      <c r="CQ7" s="1528">
        <v>73.150548651246822</v>
      </c>
      <c r="CR7" s="1528">
        <v>78.246934422113284</v>
      </c>
      <c r="CS7" s="1528">
        <v>74.874992850834772</v>
      </c>
      <c r="CT7" s="1528">
        <v>76.380986934580733</v>
      </c>
      <c r="CU7" s="1528">
        <v>71.947872033180602</v>
      </c>
      <c r="CV7" s="1528">
        <v>70.926206923419414</v>
      </c>
      <c r="CW7" s="1528">
        <v>74.11</v>
      </c>
      <c r="CX7" s="1529">
        <v>73.43063050155753</v>
      </c>
      <c r="CY7" s="1528">
        <v>77.032264384045192</v>
      </c>
      <c r="CZ7" s="1528">
        <v>75.382922767109491</v>
      </c>
      <c r="DA7" s="1528">
        <v>76.067921016795268</v>
      </c>
      <c r="DB7" s="1530">
        <v>73.00996187002653</v>
      </c>
      <c r="DC7" s="1531">
        <v>74.887463449437405</v>
      </c>
      <c r="DD7" s="1532">
        <v>75.889696820629652</v>
      </c>
      <c r="DE7" s="1532">
        <v>75.805428580432363</v>
      </c>
      <c r="DF7" s="1532">
        <v>74.846309357172245</v>
      </c>
      <c r="DG7" s="1532">
        <v>75.644117994165981</v>
      </c>
      <c r="DH7" s="1532">
        <v>74.618137449640315</v>
      </c>
      <c r="DI7" s="1532">
        <v>74.404552851794776</v>
      </c>
      <c r="DJ7" s="1532">
        <v>72.840954712051854</v>
      </c>
      <c r="DK7" s="1532">
        <v>71.692456458545564</v>
      </c>
      <c r="DL7" s="1532">
        <v>73.199285360025243</v>
      </c>
      <c r="DM7" s="1532">
        <v>73.904639274426273</v>
      </c>
      <c r="DN7" s="1533">
        <v>69.394878505961017</v>
      </c>
      <c r="DO7" s="1534">
        <v>70.000101467607905</v>
      </c>
      <c r="DP7" s="1535">
        <v>74.416049326974615</v>
      </c>
      <c r="DQ7" s="1535">
        <v>74.335870169531347</v>
      </c>
      <c r="DR7" s="1535">
        <v>76.535392079290403</v>
      </c>
      <c r="DS7" s="1535">
        <v>74.696368188024977</v>
      </c>
      <c r="DT7" s="1535">
        <v>75.516376215795617</v>
      </c>
      <c r="DU7" s="1535">
        <v>72.855751649356591</v>
      </c>
      <c r="DV7" s="1535">
        <v>73.48265070980959</v>
      </c>
      <c r="DW7" s="1535">
        <v>72.657848010902725</v>
      </c>
      <c r="DX7" s="1535">
        <v>92.992497789072431</v>
      </c>
      <c r="DY7" s="1535">
        <v>74.054377321753392</v>
      </c>
      <c r="DZ7" s="1535">
        <v>70.00282204455624</v>
      </c>
      <c r="EA7" s="1534">
        <v>69.174173177259334</v>
      </c>
      <c r="EB7" s="1535">
        <v>71.664320366568319</v>
      </c>
      <c r="EC7" s="1535"/>
      <c r="ED7" s="1535"/>
      <c r="EE7" s="1535"/>
      <c r="EF7" s="1535"/>
      <c r="EG7" s="1535"/>
      <c r="EH7" s="1535"/>
      <c r="EI7" s="1535"/>
      <c r="EJ7" s="1535"/>
      <c r="EK7" s="1535"/>
      <c r="EL7" s="1535"/>
      <c r="EM7" s="1534"/>
      <c r="EN7" s="1535"/>
      <c r="EO7" s="1535"/>
      <c r="EP7" s="1535"/>
      <c r="EQ7" s="1535"/>
      <c r="ER7" s="1535"/>
      <c r="ES7" s="1535"/>
      <c r="ET7" s="1535"/>
      <c r="EU7" s="1535"/>
      <c r="EV7" s="1535"/>
      <c r="EW7" s="1535"/>
      <c r="EX7" s="1535"/>
      <c r="EY7" s="1534"/>
      <c r="EZ7" s="4810"/>
      <c r="FA7" s="4796"/>
      <c r="FB7" s="1535"/>
      <c r="FC7" s="1535"/>
      <c r="FD7" s="1535"/>
      <c r="FE7" s="1535"/>
      <c r="FF7" s="1535"/>
      <c r="FG7" s="1535"/>
      <c r="FH7" s="1535"/>
      <c r="FI7" s="1535"/>
      <c r="FJ7" s="1535"/>
      <c r="FK7" s="1535"/>
      <c r="FL7" s="4797"/>
      <c r="FM7" s="1535"/>
      <c r="FN7" s="4796">
        <v>80.72</v>
      </c>
      <c r="FO7" s="1535">
        <v>81.19</v>
      </c>
      <c r="FP7" s="1535">
        <v>86.69</v>
      </c>
      <c r="FQ7" s="1535"/>
      <c r="FR7" s="1535"/>
      <c r="FS7" s="1535"/>
      <c r="FT7" s="1535"/>
      <c r="FU7" s="1535"/>
      <c r="FV7" s="1535"/>
      <c r="FW7" s="1535"/>
      <c r="FX7" s="1535"/>
      <c r="FY7" s="4797"/>
      <c r="FZ7" s="1535"/>
      <c r="GA7" s="4806"/>
      <c r="GB7" s="4874"/>
      <c r="GC7" s="1534">
        <v>48.286290340928261</v>
      </c>
      <c r="GD7" s="1535">
        <v>49.779483393362504</v>
      </c>
      <c r="GE7" s="1535">
        <v>54.815508419813391</v>
      </c>
      <c r="GF7" s="1535">
        <v>53.558617307014607</v>
      </c>
      <c r="GG7" s="1535">
        <v>56.79727347708026</v>
      </c>
      <c r="GH7" s="1535">
        <v>59.405705592675915</v>
      </c>
      <c r="GI7" s="1535">
        <v>66.535870535674064</v>
      </c>
      <c r="GJ7" s="1535">
        <v>70.816867591603753</v>
      </c>
      <c r="GK7" s="1535">
        <v>74.546770196242463</v>
      </c>
      <c r="GL7" s="4861">
        <v>74.014241640131232</v>
      </c>
      <c r="GM7" s="4862">
        <v>75.128842081056305</v>
      </c>
      <c r="GN7" s="4862">
        <v>74.830703976826754</v>
      </c>
      <c r="GO7" s="4863">
        <f>AVERAGE(GJ7:GN7)</f>
        <v>73.867485097172107</v>
      </c>
      <c r="GP7" s="4862">
        <v>76.849999999999994</v>
      </c>
      <c r="GQ7" s="4862">
        <v>72.569999999999993</v>
      </c>
      <c r="GR7" s="4862">
        <v>86.74</v>
      </c>
      <c r="GS7" s="4864">
        <f>AVERAGE(GS8:GS10)</f>
        <v>68.163611420598201</v>
      </c>
    </row>
    <row r="8" spans="1:250" ht="13.8">
      <c r="A8" s="1439"/>
      <c r="B8" s="1498" t="s">
        <v>1072</v>
      </c>
      <c r="C8" s="1459"/>
      <c r="D8" s="1474">
        <v>71.33647710948722</v>
      </c>
      <c r="E8" s="1475">
        <v>70.490242014091962</v>
      </c>
      <c r="F8" s="1475">
        <v>71.708327470981345</v>
      </c>
      <c r="G8" s="1475">
        <v>73.645144857087303</v>
      </c>
      <c r="H8" s="1475">
        <v>75.055960975070477</v>
      </c>
      <c r="I8" s="1475">
        <v>71.812964375579398</v>
      </c>
      <c r="J8" s="1476">
        <v>70.187425387982486</v>
      </c>
      <c r="K8" s="1477">
        <v>77.886178213909375</v>
      </c>
      <c r="L8" s="1478">
        <v>72.924844202442401</v>
      </c>
      <c r="M8" s="1478">
        <v>73.789467762051942</v>
      </c>
      <c r="N8" s="1478">
        <v>72.873163262272172</v>
      </c>
      <c r="O8" s="1478">
        <v>73.743567434843058</v>
      </c>
      <c r="P8" s="1478">
        <v>75.882909839268507</v>
      </c>
      <c r="Q8" s="1478">
        <v>75.652569041846732</v>
      </c>
      <c r="R8" s="1478">
        <v>74.273768203054559</v>
      </c>
      <c r="S8" s="1478">
        <v>79.086043663185094</v>
      </c>
      <c r="T8" s="1478">
        <v>75.693917243516879</v>
      </c>
      <c r="U8" s="1478">
        <v>77.258481077613851</v>
      </c>
      <c r="V8" s="1479">
        <v>74.094527770850405</v>
      </c>
      <c r="W8" s="1480">
        <v>77.92828943089431</v>
      </c>
      <c r="X8" s="1481">
        <v>84.285242587205019</v>
      </c>
      <c r="Y8" s="1481">
        <v>80.224511817629534</v>
      </c>
      <c r="Z8" s="1481">
        <v>84.562057590876691</v>
      </c>
      <c r="AA8" s="1481">
        <v>83.638698464248364</v>
      </c>
      <c r="AB8" s="1481">
        <v>86.839797100660917</v>
      </c>
      <c r="AC8" s="1481">
        <v>85.895596399294391</v>
      </c>
      <c r="AD8" s="1481">
        <v>85.096122680383857</v>
      </c>
      <c r="AE8" s="1481">
        <v>89.315293376776268</v>
      </c>
      <c r="AF8" s="1481">
        <v>90.151871206747074</v>
      </c>
      <c r="AG8" s="1481">
        <v>91.312529175784093</v>
      </c>
      <c r="AH8" s="1482">
        <v>87.057600411263294</v>
      </c>
      <c r="AI8" s="1483">
        <v>85.112451370079839</v>
      </c>
      <c r="AJ8" s="1484">
        <v>86.574065176445501</v>
      </c>
      <c r="AK8" s="1484">
        <v>88.788407967650144</v>
      </c>
      <c r="AL8" s="1484">
        <v>87.790396839844178</v>
      </c>
      <c r="AM8" s="1484">
        <v>82.882589811593704</v>
      </c>
      <c r="AN8" s="1484">
        <v>84.446737132047929</v>
      </c>
      <c r="AO8" s="1484">
        <v>84.207298224815162</v>
      </c>
      <c r="AP8" s="1484">
        <v>86.65053279424977</v>
      </c>
      <c r="AQ8" s="1484">
        <v>84.963856999644278</v>
      </c>
      <c r="AR8" s="1484">
        <v>84.028994268139243</v>
      </c>
      <c r="AS8" s="1484">
        <v>83.865880264826032</v>
      </c>
      <c r="AT8" s="1485">
        <v>80.461051942709688</v>
      </c>
      <c r="AU8" s="1486">
        <v>85.728614380938865</v>
      </c>
      <c r="AV8" s="1487">
        <v>90.280753148941699</v>
      </c>
      <c r="AW8" s="1487">
        <v>91.860443417325186</v>
      </c>
      <c r="AX8" s="1487">
        <v>86.910784196348402</v>
      </c>
      <c r="AY8" s="1487">
        <v>87.449161208151381</v>
      </c>
      <c r="AZ8" s="1487">
        <v>87.944618991060821</v>
      </c>
      <c r="BA8" s="1487">
        <v>87.519017916793203</v>
      </c>
      <c r="BB8" s="1487">
        <v>87.819405858511431</v>
      </c>
      <c r="BC8" s="1487">
        <v>88.295482903023711</v>
      </c>
      <c r="BD8" s="1487">
        <v>89.001148186412749</v>
      </c>
      <c r="BE8" s="1487">
        <v>84.313181739281376</v>
      </c>
      <c r="BF8" s="1487">
        <v>96.589581078781691</v>
      </c>
      <c r="BG8" s="1488">
        <v>92.663130653266322</v>
      </c>
      <c r="BH8" s="1489">
        <v>96.797805889539006</v>
      </c>
      <c r="BI8" s="1489">
        <v>94.051169419591659</v>
      </c>
      <c r="BJ8" s="1489">
        <v>85.050375000000003</v>
      </c>
      <c r="BK8" s="1489">
        <v>88.902906533929041</v>
      </c>
      <c r="BL8" s="1489">
        <v>90.620914313357929</v>
      </c>
      <c r="BM8" s="1489">
        <v>89.463033135089205</v>
      </c>
      <c r="BN8" s="1489">
        <v>89.582521158901173</v>
      </c>
      <c r="BO8" s="1489">
        <v>90.206482162667129</v>
      </c>
      <c r="BP8" s="1489">
        <v>90.606695358649802</v>
      </c>
      <c r="BQ8" s="1489">
        <v>100.43197780020182</v>
      </c>
      <c r="BR8" s="1490">
        <v>106.23732163270795</v>
      </c>
      <c r="BS8" s="1491">
        <v>101.45770756402621</v>
      </c>
      <c r="BT8" s="1492">
        <v>109.73148081880213</v>
      </c>
      <c r="BU8" s="1492">
        <v>111.57217206739263</v>
      </c>
      <c r="BV8" s="1492">
        <v>111.00217228464419</v>
      </c>
      <c r="BW8" s="1492">
        <v>97.950083572048044</v>
      </c>
      <c r="BX8" s="1492">
        <v>101.0746706448804</v>
      </c>
      <c r="BY8" s="1492">
        <v>97.412546260652562</v>
      </c>
      <c r="BZ8" s="1492">
        <v>93.939133452464191</v>
      </c>
      <c r="CA8" s="1492">
        <v>99.497902811223256</v>
      </c>
      <c r="CB8" s="1492">
        <v>101.99874827888347</v>
      </c>
      <c r="CC8" s="1492">
        <v>105.712516172313</v>
      </c>
      <c r="CD8" s="1492">
        <v>120.96230299098607</v>
      </c>
      <c r="CE8" s="1493">
        <v>118.99408496328746</v>
      </c>
      <c r="CF8" s="1493">
        <v>119.05724313692899</v>
      </c>
      <c r="CG8" s="1493">
        <v>133.76220129692663</v>
      </c>
      <c r="CH8" s="1493">
        <v>93.582938332646606</v>
      </c>
      <c r="CI8" s="1493">
        <v>101.06745787300525</v>
      </c>
      <c r="CJ8" s="1493">
        <v>105.44867786507722</v>
      </c>
      <c r="CK8" s="1493">
        <v>104.87666559476914</v>
      </c>
      <c r="CL8" s="1493">
        <v>102.62494207185554</v>
      </c>
      <c r="CM8" s="1493">
        <v>105.00206426721347</v>
      </c>
      <c r="CN8" s="1493">
        <v>101.89781502488094</v>
      </c>
      <c r="CO8" s="1493">
        <v>103.7504363501405</v>
      </c>
      <c r="CP8" s="1494">
        <v>96.812372108992164</v>
      </c>
      <c r="CQ8" s="1495">
        <v>108.69314618013104</v>
      </c>
      <c r="CR8" s="1495">
        <v>112.07490960963433</v>
      </c>
      <c r="CS8" s="1495">
        <v>108.49847760060744</v>
      </c>
      <c r="CT8" s="1495">
        <v>108.78172079315574</v>
      </c>
      <c r="CU8" s="1495">
        <v>101.25989325434526</v>
      </c>
      <c r="CV8" s="1495">
        <v>100.57504642256136</v>
      </c>
      <c r="CW8" s="1495">
        <v>108.4</v>
      </c>
      <c r="CX8" s="1496">
        <v>107.04784185195027</v>
      </c>
      <c r="CY8" s="1495">
        <v>112.09746422954962</v>
      </c>
      <c r="CZ8" s="1495">
        <v>108.22871213742908</v>
      </c>
      <c r="DA8" s="1495">
        <v>111.43007899699302</v>
      </c>
      <c r="DB8" s="1500">
        <v>113.34921602045162</v>
      </c>
      <c r="DC8" s="1503">
        <v>112.37369610559412</v>
      </c>
      <c r="DD8" s="1497">
        <v>111.54774801238864</v>
      </c>
      <c r="DE8" s="1497">
        <v>112.08139776826916</v>
      </c>
      <c r="DF8" s="1497">
        <v>112.40243807082199</v>
      </c>
      <c r="DG8" s="1497">
        <v>112.64917046964358</v>
      </c>
      <c r="DH8" s="1497">
        <v>108.97197743596068</v>
      </c>
      <c r="DI8" s="1497">
        <v>109.78592609406209</v>
      </c>
      <c r="DJ8" s="1497">
        <v>107.96697932129663</v>
      </c>
      <c r="DK8" s="1497">
        <v>111.45776919294795</v>
      </c>
      <c r="DL8" s="1497">
        <v>108.10286298508342</v>
      </c>
      <c r="DM8" s="1497">
        <v>106.91653734487078</v>
      </c>
      <c r="DN8" s="1504">
        <v>101.2218456639673</v>
      </c>
      <c r="DO8" s="1507">
        <v>101.11419785214237</v>
      </c>
      <c r="DP8" s="1452">
        <v>111.47152546664739</v>
      </c>
      <c r="DQ8" s="1452">
        <v>110.83597074421991</v>
      </c>
      <c r="DR8" s="1452">
        <v>109.16796027164686</v>
      </c>
      <c r="DS8" s="1452">
        <v>106.06299486030575</v>
      </c>
      <c r="DT8" s="1452">
        <v>107.08882835288779</v>
      </c>
      <c r="DU8" s="1452">
        <v>110.07546462999716</v>
      </c>
      <c r="DV8" s="1452">
        <v>108.27510240560066</v>
      </c>
      <c r="DW8" s="1452">
        <v>107.19257717157213</v>
      </c>
      <c r="DX8" s="1452">
        <v>147.23028819749928</v>
      </c>
      <c r="DY8" s="1452">
        <v>108.63387755739497</v>
      </c>
      <c r="DZ8" s="1452">
        <v>108.74382154515779</v>
      </c>
      <c r="EA8" s="1507">
        <v>102.93245795696556</v>
      </c>
      <c r="EB8" s="1452">
        <v>103.01290453692766</v>
      </c>
      <c r="EC8" s="1452"/>
      <c r="ED8" s="1602">
        <v>107.09</v>
      </c>
      <c r="EE8" s="1602">
        <v>101.22</v>
      </c>
      <c r="EF8" s="1602">
        <v>101.16</v>
      </c>
      <c r="EG8" s="1602">
        <v>101.38</v>
      </c>
      <c r="EH8" s="1602">
        <v>100.62</v>
      </c>
      <c r="EI8" s="1602">
        <v>95.51</v>
      </c>
      <c r="EJ8" s="1602">
        <v>101.84</v>
      </c>
      <c r="EK8" s="1602">
        <v>97.81</v>
      </c>
      <c r="EL8" s="1602">
        <v>100.91</v>
      </c>
      <c r="EM8" s="1604">
        <v>100.34</v>
      </c>
      <c r="EN8" s="1452"/>
      <c r="EO8" s="1452"/>
      <c r="EP8" s="1602">
        <v>102.39</v>
      </c>
      <c r="EQ8" s="1602">
        <v>100.52</v>
      </c>
      <c r="ER8" s="1602">
        <v>102.32</v>
      </c>
      <c r="ES8" s="1602">
        <v>103.55</v>
      </c>
      <c r="ET8" s="1602">
        <v>101.02</v>
      </c>
      <c r="EU8" s="1602">
        <v>96.59</v>
      </c>
      <c r="EV8" s="1602">
        <v>101.08</v>
      </c>
      <c r="EW8" s="1602">
        <v>100.01</v>
      </c>
      <c r="EX8" s="1602">
        <v>101.89</v>
      </c>
      <c r="EY8" s="1604">
        <v>99.3</v>
      </c>
      <c r="EZ8" s="4811"/>
      <c r="FA8" s="4814">
        <v>69.39</v>
      </c>
      <c r="FB8" s="4815">
        <v>73.03</v>
      </c>
      <c r="FC8" s="4815">
        <v>72.89</v>
      </c>
      <c r="FD8" s="4815">
        <v>73.040000000000006</v>
      </c>
      <c r="FE8" s="4815"/>
      <c r="FF8" s="4815"/>
      <c r="FG8" s="4815"/>
      <c r="FH8" s="4815"/>
      <c r="FI8" s="4815">
        <v>89.5</v>
      </c>
      <c r="FJ8" s="4815">
        <v>91.95</v>
      </c>
      <c r="FK8" s="4815">
        <v>91.56</v>
      </c>
      <c r="FL8" s="4816">
        <v>96.3</v>
      </c>
      <c r="FM8" s="4815"/>
      <c r="FN8" s="4814">
        <v>93.72</v>
      </c>
      <c r="FO8" s="4815">
        <v>101.58</v>
      </c>
      <c r="FP8" s="4815">
        <v>103.93</v>
      </c>
      <c r="FQ8" s="4815">
        <v>106.7</v>
      </c>
      <c r="FR8" s="4815"/>
      <c r="FS8" s="4815"/>
      <c r="FT8" s="4815"/>
      <c r="FU8" s="4815"/>
      <c r="FV8" s="4815"/>
      <c r="FW8" s="4815"/>
      <c r="FX8" s="4815"/>
      <c r="FY8" s="4816"/>
      <c r="FZ8" s="1452"/>
      <c r="GA8" s="1498" t="s">
        <v>1072</v>
      </c>
      <c r="GB8" s="4875"/>
      <c r="GC8" s="1507">
        <v>72.033791741468605</v>
      </c>
      <c r="GD8" s="1452">
        <v>75.322999796354281</v>
      </c>
      <c r="GE8" s="1452">
        <v>85.686550527563043</v>
      </c>
      <c r="GF8" s="1452">
        <v>85.012639471846839</v>
      </c>
      <c r="GG8" s="1452">
        <v>88.602935399599644</v>
      </c>
      <c r="GH8" s="1452">
        <v>92.869974859717217</v>
      </c>
      <c r="GI8" s="1452">
        <v>103.8996481503053</v>
      </c>
      <c r="GJ8" s="1452">
        <v>107.48127913034415</v>
      </c>
      <c r="GK8" s="1452">
        <v>108.36970892473407</v>
      </c>
      <c r="GL8" s="4852">
        <v>109.76973658136149</v>
      </c>
      <c r="GM8" s="4853">
        <v>111.32438408792268</v>
      </c>
      <c r="GN8" s="4853">
        <v>110.77102068584797</v>
      </c>
      <c r="GO8" s="4854">
        <f>AVERAGE(EM8:EX8)</f>
        <v>100.971</v>
      </c>
      <c r="GP8" s="4853">
        <v>97.01</v>
      </c>
      <c r="GQ8" s="4853">
        <v>101.03</v>
      </c>
      <c r="GR8" s="4853">
        <v>118.27</v>
      </c>
      <c r="GS8" s="4855">
        <f>AVERAGE(FN8:FY8)</f>
        <v>101.4825</v>
      </c>
    </row>
    <row r="9" spans="1:250" ht="13.8">
      <c r="A9" s="1439"/>
      <c r="B9" s="1498" t="s">
        <v>1073</v>
      </c>
      <c r="C9" s="1459"/>
      <c r="D9" s="1474">
        <v>37.088202834610684</v>
      </c>
      <c r="E9" s="1475">
        <v>39.389060566590686</v>
      </c>
      <c r="F9" s="1475">
        <v>39.960162093442101</v>
      </c>
      <c r="G9" s="1475">
        <v>39.833883540463276</v>
      </c>
      <c r="H9" s="1475">
        <v>38.663733963877853</v>
      </c>
      <c r="I9" s="1475">
        <v>37.820455731885573</v>
      </c>
      <c r="J9" s="1476">
        <v>38.026591424817873</v>
      </c>
      <c r="K9" s="1477">
        <v>39.115670327495799</v>
      </c>
      <c r="L9" s="1478">
        <v>39.035458224096658</v>
      </c>
      <c r="M9" s="1478">
        <v>39.657905179077559</v>
      </c>
      <c r="N9" s="1478">
        <v>38.701380115717406</v>
      </c>
      <c r="O9" s="1478">
        <v>38.929040123150259</v>
      </c>
      <c r="P9" s="1478">
        <v>41.113319220165408</v>
      </c>
      <c r="Q9" s="1478">
        <v>38.850298376094692</v>
      </c>
      <c r="R9" s="1478">
        <v>37.807750077491924</v>
      </c>
      <c r="S9" s="1478">
        <v>39.985659917311573</v>
      </c>
      <c r="T9" s="1478">
        <v>39.369929734212008</v>
      </c>
      <c r="U9" s="1478">
        <v>38.821406296723488</v>
      </c>
      <c r="V9" s="1479">
        <v>39.732985275935697</v>
      </c>
      <c r="W9" s="1480">
        <v>41.184396247952755</v>
      </c>
      <c r="X9" s="1481">
        <v>41.193009870918758</v>
      </c>
      <c r="Y9" s="1481">
        <v>42.98011144018875</v>
      </c>
      <c r="Z9" s="1481">
        <v>42.496053645524597</v>
      </c>
      <c r="AA9" s="1481">
        <v>42.375665496632202</v>
      </c>
      <c r="AB9" s="1481">
        <v>42.729588812073558</v>
      </c>
      <c r="AC9" s="1481">
        <v>42.320796452876877</v>
      </c>
      <c r="AD9" s="1481">
        <v>41.077562702088613</v>
      </c>
      <c r="AE9" s="1481">
        <v>44.422392138290313</v>
      </c>
      <c r="AF9" s="1481">
        <v>45.743995795312223</v>
      </c>
      <c r="AG9" s="1481">
        <v>43.858075562839652</v>
      </c>
      <c r="AH9" s="1482">
        <v>45.171011993259995</v>
      </c>
      <c r="AI9" s="1483">
        <v>45.353731998421786</v>
      </c>
      <c r="AJ9" s="1484">
        <v>46.64545110058512</v>
      </c>
      <c r="AK9" s="1484">
        <v>45.698235325678716</v>
      </c>
      <c r="AL9" s="1484">
        <v>46.843268603220451</v>
      </c>
      <c r="AM9" s="1484">
        <v>46.262460794371982</v>
      </c>
      <c r="AN9" s="1484">
        <v>43.970774557325157</v>
      </c>
      <c r="AO9" s="1484">
        <v>44.266863300935924</v>
      </c>
      <c r="AP9" s="1484">
        <v>42.205949704428733</v>
      </c>
      <c r="AQ9" s="1484">
        <v>44.129989562624267</v>
      </c>
      <c r="AR9" s="1484">
        <v>44.285184550130857</v>
      </c>
      <c r="AS9" s="1484">
        <v>44.131755565651979</v>
      </c>
      <c r="AT9" s="1485">
        <v>43.135526447605706</v>
      </c>
      <c r="AU9" s="1486">
        <v>50.452490679921901</v>
      </c>
      <c r="AV9" s="1487">
        <v>51.158929034416417</v>
      </c>
      <c r="AW9" s="1487">
        <v>50.635239220983905</v>
      </c>
      <c r="AX9" s="1487">
        <v>52.58417037154652</v>
      </c>
      <c r="AY9" s="1487">
        <v>51.715962751805399</v>
      </c>
      <c r="AZ9" s="1487">
        <v>52.093950891233185</v>
      </c>
      <c r="BA9" s="1487">
        <v>51.873263615513629</v>
      </c>
      <c r="BB9" s="1487">
        <v>50.641704190815886</v>
      </c>
      <c r="BC9" s="1487">
        <v>50.767297801258643</v>
      </c>
      <c r="BD9" s="1487">
        <v>52.660421647318202</v>
      </c>
      <c r="BE9" s="1487">
        <v>52.883366654157136</v>
      </c>
      <c r="BF9" s="1487">
        <v>52.231014481316343</v>
      </c>
      <c r="BG9" s="1488">
        <v>51.308446025614955</v>
      </c>
      <c r="BH9" s="1489">
        <v>52.120542773561048</v>
      </c>
      <c r="BI9" s="1489">
        <v>52.651957015985801</v>
      </c>
      <c r="BJ9" s="1489">
        <v>54.359690401289036</v>
      </c>
      <c r="BK9" s="1489">
        <v>51.480584647969629</v>
      </c>
      <c r="BL9" s="1489">
        <v>51.649307862472334</v>
      </c>
      <c r="BM9" s="1489">
        <v>52.82551788824869</v>
      </c>
      <c r="BN9" s="1489">
        <v>52.479359710263765</v>
      </c>
      <c r="BO9" s="1489">
        <v>51.356539785022534</v>
      </c>
      <c r="BP9" s="1489">
        <v>53.957462525364917</v>
      </c>
      <c r="BQ9" s="1489">
        <v>53.647813947664957</v>
      </c>
      <c r="BR9" s="1490">
        <v>54.527160373100635</v>
      </c>
      <c r="BS9" s="1491">
        <v>55.995320569743896</v>
      </c>
      <c r="BT9" s="1492">
        <v>54.970999790253785</v>
      </c>
      <c r="BU9" s="1492">
        <v>56.062980933638741</v>
      </c>
      <c r="BV9" s="1492">
        <v>57.919853674398432</v>
      </c>
      <c r="BW9" s="1492">
        <v>57.836098651715375</v>
      </c>
      <c r="BX9" s="1492">
        <v>57.304254791856188</v>
      </c>
      <c r="BY9" s="1492">
        <v>57.049547902979732</v>
      </c>
      <c r="BZ9" s="1492">
        <v>57.821687282566671</v>
      </c>
      <c r="CA9" s="1492">
        <v>56.199089269031283</v>
      </c>
      <c r="CB9" s="1492">
        <v>58.235704063219458</v>
      </c>
      <c r="CC9" s="1492">
        <v>57.923976273032068</v>
      </c>
      <c r="CD9" s="1492">
        <v>58.767539447731757</v>
      </c>
      <c r="CE9" s="1493">
        <v>58.689370039148088</v>
      </c>
      <c r="CF9" s="1493">
        <v>67.630018196089637</v>
      </c>
      <c r="CG9" s="1493">
        <v>67.790611763282115</v>
      </c>
      <c r="CH9" s="1493">
        <v>63.9756612660765</v>
      </c>
      <c r="CI9" s="1493">
        <v>64.218452351018357</v>
      </c>
      <c r="CJ9" s="1493">
        <v>64.009552709782184</v>
      </c>
      <c r="CK9" s="1493">
        <v>64.458894449237846</v>
      </c>
      <c r="CL9" s="1493">
        <v>66.039017733011789</v>
      </c>
      <c r="CM9" s="1493">
        <v>65.080399900919247</v>
      </c>
      <c r="CN9" s="1493">
        <v>69.290249375142011</v>
      </c>
      <c r="CO9" s="1493">
        <v>69.488685626655524</v>
      </c>
      <c r="CP9" s="1494">
        <v>68.814460768657526</v>
      </c>
      <c r="CQ9" s="1495">
        <v>71.136236284331773</v>
      </c>
      <c r="CR9" s="1495">
        <v>74.782857187686318</v>
      </c>
      <c r="CS9" s="1495">
        <v>72.581744927358557</v>
      </c>
      <c r="CT9" s="1495">
        <v>70.882274943126404</v>
      </c>
      <c r="CU9" s="1495">
        <v>70.482900397929555</v>
      </c>
      <c r="CV9" s="1495">
        <v>68.754788689292155</v>
      </c>
      <c r="CW9" s="1495">
        <v>69.16</v>
      </c>
      <c r="CX9" s="1496">
        <v>71.73968587316611</v>
      </c>
      <c r="CY9" s="1495">
        <v>71.052733398377953</v>
      </c>
      <c r="CZ9" s="1495">
        <v>71.09240955432567</v>
      </c>
      <c r="DA9" s="1495">
        <v>71.273436103282364</v>
      </c>
      <c r="DB9" s="1500">
        <v>70.592560520826737</v>
      </c>
      <c r="DC9" s="1503">
        <v>68.931104879800301</v>
      </c>
      <c r="DD9" s="1497">
        <v>68.809852471605836</v>
      </c>
      <c r="DE9" s="1497">
        <v>71.913666808484777</v>
      </c>
      <c r="DF9" s="1497">
        <v>72.048210936177412</v>
      </c>
      <c r="DG9" s="1497">
        <v>69.935311821590687</v>
      </c>
      <c r="DH9" s="1497">
        <v>72.850873170580769</v>
      </c>
      <c r="DI9" s="1497">
        <v>71.327732397674566</v>
      </c>
      <c r="DJ9" s="1497">
        <v>70.490790224319483</v>
      </c>
      <c r="DK9" s="1497">
        <v>70.398065801173743</v>
      </c>
      <c r="DL9" s="1497">
        <v>70.848325754580216</v>
      </c>
      <c r="DM9" s="1497">
        <v>69.586032186084253</v>
      </c>
      <c r="DN9" s="1504">
        <v>71.183818124333072</v>
      </c>
      <c r="DO9" s="1507">
        <v>74.186986663202561</v>
      </c>
      <c r="DP9" s="1452">
        <v>71.904446254808789</v>
      </c>
      <c r="DQ9" s="1452">
        <v>74.798922550595606</v>
      </c>
      <c r="DR9" s="1452">
        <v>74.822508783344176</v>
      </c>
      <c r="DS9" s="1452">
        <v>72.701001975850716</v>
      </c>
      <c r="DT9" s="1452">
        <v>74.179148058818953</v>
      </c>
      <c r="DU9" s="1452">
        <v>69.442780667211537</v>
      </c>
      <c r="DV9" s="1452">
        <v>73.021821295606856</v>
      </c>
      <c r="DW9" s="1452">
        <v>72.471291060958947</v>
      </c>
      <c r="DX9" s="1452">
        <v>82.185629410700273</v>
      </c>
      <c r="DY9" s="1452">
        <v>68.228066501964278</v>
      </c>
      <c r="DZ9" s="1452">
        <v>70.357165418283543</v>
      </c>
      <c r="EA9" s="1507">
        <v>68.25330895948899</v>
      </c>
      <c r="EB9" s="1452">
        <v>69.081195289007667</v>
      </c>
      <c r="EC9" s="1452"/>
      <c r="ED9" s="1602">
        <v>67.53</v>
      </c>
      <c r="EE9" s="1602">
        <v>66.14</v>
      </c>
      <c r="EF9" s="1602">
        <v>64.73</v>
      </c>
      <c r="EG9" s="1602">
        <v>64.81</v>
      </c>
      <c r="EH9" s="1602">
        <v>64.92</v>
      </c>
      <c r="EI9" s="1602">
        <v>66.58</v>
      </c>
      <c r="EJ9" s="1602">
        <v>64.92</v>
      </c>
      <c r="EK9" s="1602">
        <v>64.739999999999995</v>
      </c>
      <c r="EL9" s="1602">
        <v>67.680000000000007</v>
      </c>
      <c r="EM9" s="1604">
        <v>66.02</v>
      </c>
      <c r="EN9" s="1452"/>
      <c r="EO9" s="1452"/>
      <c r="EP9" s="1602">
        <v>64.8</v>
      </c>
      <c r="EQ9" s="1602">
        <v>66.56</v>
      </c>
      <c r="ER9" s="1602">
        <v>63.83</v>
      </c>
      <c r="ES9" s="1602">
        <v>65.06</v>
      </c>
      <c r="ET9" s="1602">
        <v>64.78</v>
      </c>
      <c r="EU9" s="1602">
        <v>64.709999999999994</v>
      </c>
      <c r="EV9" s="1602">
        <v>64.81</v>
      </c>
      <c r="EW9" s="1602">
        <v>64.569999999999993</v>
      </c>
      <c r="EX9" s="1602">
        <v>65.38</v>
      </c>
      <c r="EY9" s="1604">
        <v>64.22</v>
      </c>
      <c r="EZ9" s="4811"/>
      <c r="FA9" s="4814">
        <v>50.81</v>
      </c>
      <c r="FB9" s="4815">
        <v>52.49</v>
      </c>
      <c r="FC9" s="4815">
        <v>53.14</v>
      </c>
      <c r="FD9" s="4815">
        <v>51.56</v>
      </c>
      <c r="FE9" s="4815"/>
      <c r="FF9" s="4815"/>
      <c r="FG9" s="4815"/>
      <c r="FH9" s="4815"/>
      <c r="FI9" s="4815">
        <v>53.8</v>
      </c>
      <c r="FJ9" s="4815">
        <v>55.63</v>
      </c>
      <c r="FK9" s="4815">
        <v>57.01</v>
      </c>
      <c r="FL9" s="4816">
        <v>57.74</v>
      </c>
      <c r="FM9" s="4815"/>
      <c r="FN9" s="4814">
        <v>57.37</v>
      </c>
      <c r="FO9" s="4815">
        <v>55.85</v>
      </c>
      <c r="FP9" s="4815">
        <v>62.11</v>
      </c>
      <c r="FQ9" s="4815">
        <v>62.65</v>
      </c>
      <c r="FR9" s="4815"/>
      <c r="FS9" s="4815"/>
      <c r="FT9" s="4815"/>
      <c r="FU9" s="4815"/>
      <c r="FV9" s="4815"/>
      <c r="FW9" s="4815"/>
      <c r="FX9" s="4815"/>
      <c r="FY9" s="4816"/>
      <c r="FZ9" s="1452"/>
      <c r="GA9" s="1498" t="s">
        <v>1073</v>
      </c>
      <c r="GB9" s="4875"/>
      <c r="GC9" s="1507">
        <v>38.683155736526871</v>
      </c>
      <c r="GD9" s="1452">
        <v>39.233737813697665</v>
      </c>
      <c r="GE9" s="1452">
        <v>42.971202652693087</v>
      </c>
      <c r="GF9" s="1452">
        <v>44.694139268646495</v>
      </c>
      <c r="GG9" s="1452">
        <v>51.676991153507117</v>
      </c>
      <c r="GH9" s="1452">
        <v>52.724840462576353</v>
      </c>
      <c r="GI9" s="1452">
        <v>57.17989566432805</v>
      </c>
      <c r="GJ9" s="1452">
        <v>65.881004587108848</v>
      </c>
      <c r="GK9" s="1452">
        <v>71.127635656641971</v>
      </c>
      <c r="GL9" s="1507">
        <v>70.751485187846001</v>
      </c>
      <c r="GM9" s="1452">
        <v>73.191647386778854</v>
      </c>
      <c r="GN9" s="1452">
        <v>72.461903330985947</v>
      </c>
      <c r="GO9" s="1605">
        <f>AVERAGE(EM9:EX9)</f>
        <v>65.051999999999992</v>
      </c>
      <c r="GP9" s="1452">
        <v>78.28</v>
      </c>
      <c r="GQ9" s="1452">
        <v>73.77</v>
      </c>
      <c r="GR9" s="1452">
        <v>83.98</v>
      </c>
      <c r="GS9" s="4856">
        <f>AVERAGE(FN9:FY9)</f>
        <v>59.494999999999997</v>
      </c>
    </row>
    <row r="10" spans="1:250" ht="15.6">
      <c r="A10" s="1439"/>
      <c r="B10" s="1498" t="s">
        <v>1074</v>
      </c>
      <c r="C10" s="1459"/>
      <c r="D10" s="1474">
        <v>16.503053596317102</v>
      </c>
      <c r="E10" s="1475">
        <v>17.887368507202094</v>
      </c>
      <c r="F10" s="1475">
        <v>14.844819673589186</v>
      </c>
      <c r="G10" s="1475">
        <v>16.48463787136857</v>
      </c>
      <c r="H10" s="1475">
        <v>16.934588907100935</v>
      </c>
      <c r="I10" s="1475">
        <v>16.55610495907559</v>
      </c>
      <c r="J10" s="1476">
        <v>17.284830359386781</v>
      </c>
      <c r="K10" s="1477">
        <v>18.598571911523234</v>
      </c>
      <c r="L10" s="1478">
        <v>18.605147282113581</v>
      </c>
      <c r="M10" s="1478">
        <v>16.514681569343068</v>
      </c>
      <c r="N10" s="1478">
        <v>16.937954493219944</v>
      </c>
      <c r="O10" s="1478">
        <v>18.827039813502765</v>
      </c>
      <c r="P10" s="1478">
        <v>16.617794388327727</v>
      </c>
      <c r="Q10" s="1478">
        <v>17.991263338332974</v>
      </c>
      <c r="R10" s="1478">
        <v>18.375218246334057</v>
      </c>
      <c r="S10" s="1478">
        <v>19.201465971092194</v>
      </c>
      <c r="T10" s="1478">
        <v>19.857018185363945</v>
      </c>
      <c r="U10" s="1478">
        <v>18.563722437300115</v>
      </c>
      <c r="V10" s="1479">
        <v>20.03620617857835</v>
      </c>
      <c r="W10" s="1480">
        <v>18.524224072672215</v>
      </c>
      <c r="X10" s="1481">
        <v>19.296633057436665</v>
      </c>
      <c r="Y10" s="1481">
        <v>19.890283985732992</v>
      </c>
      <c r="Z10" s="1481">
        <v>19.25203916950187</v>
      </c>
      <c r="AA10" s="1481">
        <v>19.455093112244899</v>
      </c>
      <c r="AB10" s="1481">
        <v>18.211947974667407</v>
      </c>
      <c r="AC10" s="1481">
        <v>18.573978837182839</v>
      </c>
      <c r="AD10" s="1481">
        <v>19.136274853118554</v>
      </c>
      <c r="AE10" s="1481">
        <v>19.243881932021459</v>
      </c>
      <c r="AF10" s="1481">
        <v>18.463602406618204</v>
      </c>
      <c r="AG10" s="1481">
        <v>18.871866250699942</v>
      </c>
      <c r="AH10" s="1482">
        <v>19.088402343405864</v>
      </c>
      <c r="AI10" s="1483">
        <v>19.070360854267236</v>
      </c>
      <c r="AJ10" s="1484">
        <v>18.759991372264107</v>
      </c>
      <c r="AK10" s="1484">
        <v>18.699757254464281</v>
      </c>
      <c r="AL10" s="1484">
        <v>19.18543076641668</v>
      </c>
      <c r="AM10" s="1484">
        <v>19.027831102130168</v>
      </c>
      <c r="AN10" s="1484">
        <v>19.415351821737787</v>
      </c>
      <c r="AO10" s="1484">
        <v>19.877017795525909</v>
      </c>
      <c r="AP10" s="1484">
        <v>19.878862706992191</v>
      </c>
      <c r="AQ10" s="1484">
        <v>20.374260041291294</v>
      </c>
      <c r="AR10" s="1484">
        <v>19.907633023255809</v>
      </c>
      <c r="AS10" s="1484">
        <v>19.906287130924202</v>
      </c>
      <c r="AT10" s="1485">
        <v>20.481775545086922</v>
      </c>
      <c r="AU10" s="1486">
        <v>20.57619067814581</v>
      </c>
      <c r="AV10" s="1487">
        <v>19.788169206471164</v>
      </c>
      <c r="AW10" s="1487">
        <v>19.0350938086304</v>
      </c>
      <c r="AX10" s="1487">
        <v>19.203278241536967</v>
      </c>
      <c r="AY10" s="1487">
        <v>21.115955135675048</v>
      </c>
      <c r="AZ10" s="1487">
        <v>20.205115271277524</v>
      </c>
      <c r="BA10" s="1487">
        <v>20.780756002186447</v>
      </c>
      <c r="BB10" s="1487">
        <v>20.101113818452138</v>
      </c>
      <c r="BC10" s="1487">
        <v>19.591108296118176</v>
      </c>
      <c r="BD10" s="1487">
        <v>19.269224738675948</v>
      </c>
      <c r="BE10" s="1487">
        <v>19.373558808016885</v>
      </c>
      <c r="BF10" s="1487">
        <v>19.635488521089162</v>
      </c>
      <c r="BG10" s="1488">
        <v>19.558390402075236</v>
      </c>
      <c r="BH10" s="1489">
        <v>20.203698500180693</v>
      </c>
      <c r="BI10" s="1489">
        <v>19.089524494421209</v>
      </c>
      <c r="BJ10" s="1489">
        <v>19.815904608932325</v>
      </c>
      <c r="BK10" s="1489">
        <v>19.235406737880037</v>
      </c>
      <c r="BL10" s="1489">
        <v>19.987525576771738</v>
      </c>
      <c r="BM10" s="1489">
        <v>21.42086093536782</v>
      </c>
      <c r="BN10" s="1489">
        <v>21.906470114455274</v>
      </c>
      <c r="BO10" s="1489">
        <v>20.97549043268403</v>
      </c>
      <c r="BP10" s="1489">
        <v>21.279173566691515</v>
      </c>
      <c r="BQ10" s="1489">
        <v>21.482979109184079</v>
      </c>
      <c r="BR10" s="1490">
        <v>21.587334509112281</v>
      </c>
      <c r="BS10" s="1491">
        <v>23.172753792298717</v>
      </c>
      <c r="BT10" s="1492">
        <v>22.873522299132578</v>
      </c>
      <c r="BU10" s="1492">
        <v>23.160712894429285</v>
      </c>
      <c r="BV10" s="1492">
        <v>23.084810245516557</v>
      </c>
      <c r="BW10" s="1492">
        <v>24.944565896082661</v>
      </c>
      <c r="BX10" s="1492">
        <v>24.351881802310455</v>
      </c>
      <c r="BY10" s="1492">
        <v>26.542717968422522</v>
      </c>
      <c r="BZ10" s="1492">
        <v>25.358131362181215</v>
      </c>
      <c r="CA10" s="1492">
        <v>25.417599653379547</v>
      </c>
      <c r="CB10" s="1492">
        <v>26.368949943545363</v>
      </c>
      <c r="CC10" s="1492">
        <v>24.737891628638263</v>
      </c>
      <c r="CD10" s="1492">
        <v>25.50156407227545</v>
      </c>
      <c r="CE10" s="1493">
        <v>24.977685408902904</v>
      </c>
      <c r="CF10" s="1493">
        <v>24.439318691750085</v>
      </c>
      <c r="CG10" s="1493">
        <v>25.776061776061777</v>
      </c>
      <c r="CH10" s="1493">
        <v>25.005250264570996</v>
      </c>
      <c r="CI10" s="1493">
        <v>26.01821304072255</v>
      </c>
      <c r="CJ10" s="1493">
        <v>24.393467655147678</v>
      </c>
      <c r="CK10" s="1493">
        <v>25.042202305231108</v>
      </c>
      <c r="CL10" s="1493">
        <v>25.833980719492114</v>
      </c>
      <c r="CM10" s="1493">
        <v>24.425810795603741</v>
      </c>
      <c r="CN10" s="1493">
        <v>25.892359107383975</v>
      </c>
      <c r="CO10" s="1493">
        <v>27.256322035790017</v>
      </c>
      <c r="CP10" s="1494">
        <v>27.67553031238424</v>
      </c>
      <c r="CQ10" s="1495">
        <v>30.325119948991787</v>
      </c>
      <c r="CR10" s="1495">
        <v>30.021281302349557</v>
      </c>
      <c r="CS10" s="1495">
        <v>29.38892597798079</v>
      </c>
      <c r="CT10" s="1495">
        <v>30.678596441281137</v>
      </c>
      <c r="CU10" s="1495">
        <v>28.266561394312674</v>
      </c>
      <c r="CV10" s="1495">
        <v>29.029856368683081</v>
      </c>
      <c r="CW10" s="1495">
        <v>29.41</v>
      </c>
      <c r="CX10" s="1496">
        <v>29.218240248589417</v>
      </c>
      <c r="CY10" s="1495">
        <v>29.972333939761469</v>
      </c>
      <c r="CZ10" s="1495">
        <v>33.231304483552506</v>
      </c>
      <c r="DA10" s="1495">
        <v>30.858015870073039</v>
      </c>
      <c r="DB10" s="1500">
        <v>30.009258177096015</v>
      </c>
      <c r="DC10" s="1503">
        <v>32.206025609149677</v>
      </c>
      <c r="DD10" s="1497">
        <v>31.448877666603742</v>
      </c>
      <c r="DE10" s="1497">
        <v>31.74823930657622</v>
      </c>
      <c r="DF10" s="1497">
        <v>29.973099897013388</v>
      </c>
      <c r="DG10" s="1497">
        <v>30.970817939824151</v>
      </c>
      <c r="DH10" s="1497">
        <v>31.193080619327276</v>
      </c>
      <c r="DI10" s="1497">
        <v>29.536045952782459</v>
      </c>
      <c r="DJ10" s="1497">
        <v>28.592900823753901</v>
      </c>
      <c r="DK10" s="1497">
        <v>25.856757706303064</v>
      </c>
      <c r="DL10" s="1497">
        <v>27.463579310061949</v>
      </c>
      <c r="DM10" s="1497">
        <v>28.267501105509862</v>
      </c>
      <c r="DN10" s="1504">
        <v>30.205370404327493</v>
      </c>
      <c r="DO10" s="1507">
        <v>29.143818268233662</v>
      </c>
      <c r="DP10" s="1452">
        <v>28.574189259522118</v>
      </c>
      <c r="DQ10" s="1452">
        <v>29.07471611448986</v>
      </c>
      <c r="DR10" s="1452">
        <v>29.359257704515205</v>
      </c>
      <c r="DS10" s="1452">
        <v>27.901933002993704</v>
      </c>
      <c r="DT10" s="1452">
        <v>29.785882238442827</v>
      </c>
      <c r="DU10" s="1452">
        <v>28.097399934613051</v>
      </c>
      <c r="DV10" s="1452">
        <v>30.495817130601019</v>
      </c>
      <c r="DW10" s="1452">
        <v>28.72605286151158</v>
      </c>
      <c r="DX10" s="1452">
        <v>32.501984625378945</v>
      </c>
      <c r="DY10" s="1452">
        <v>28.960498127340831</v>
      </c>
      <c r="DZ10" s="1452">
        <v>28.537690602632189</v>
      </c>
      <c r="EA10" s="1507">
        <v>30.072559254095506</v>
      </c>
      <c r="EB10" s="1452">
        <v>31.286264111063069</v>
      </c>
      <c r="EC10" s="1452"/>
      <c r="ED10" s="1452"/>
      <c r="EE10" s="1452"/>
      <c r="EF10" s="1452"/>
      <c r="EG10" s="1452"/>
      <c r="EH10" s="1452"/>
      <c r="EI10" s="1452"/>
      <c r="EJ10" s="1452"/>
      <c r="EK10" s="1452"/>
      <c r="EL10" s="1452"/>
      <c r="EM10" s="1507"/>
      <c r="EN10" s="1452"/>
      <c r="EO10" s="1452"/>
      <c r="EP10" s="1452"/>
      <c r="EQ10" s="1452"/>
      <c r="ER10" s="1452"/>
      <c r="ES10" s="1452"/>
      <c r="ET10" s="1452"/>
      <c r="EU10" s="1452"/>
      <c r="EV10" s="1452"/>
      <c r="EW10" s="1452"/>
      <c r="EX10" s="1452"/>
      <c r="EY10" s="1507"/>
      <c r="EZ10" s="4812"/>
      <c r="FA10" s="4817"/>
      <c r="FB10" s="4818"/>
      <c r="FC10" s="4818"/>
      <c r="FD10" s="4818"/>
      <c r="FE10" s="4818"/>
      <c r="FF10" s="4818"/>
      <c r="FG10" s="4818"/>
      <c r="FH10" s="4818"/>
      <c r="FI10" s="4818"/>
      <c r="FJ10" s="4818"/>
      <c r="FK10" s="4818"/>
      <c r="FL10" s="4819"/>
      <c r="FM10" s="4818"/>
      <c r="FN10" s="4817"/>
      <c r="FO10" s="4818"/>
      <c r="FP10" s="4818"/>
      <c r="FQ10" s="4818"/>
      <c r="FR10" s="4818"/>
      <c r="FS10" s="4818"/>
      <c r="FT10" s="4818"/>
      <c r="FU10" s="4818"/>
      <c r="FV10" s="4818"/>
      <c r="FW10" s="4818"/>
      <c r="FX10" s="4818"/>
      <c r="FY10" s="4819"/>
      <c r="FZ10" s="1452"/>
      <c r="GA10" s="1498" t="s">
        <v>1074</v>
      </c>
      <c r="GB10" s="4875"/>
      <c r="GC10" s="1507">
        <v>16.642200553434321</v>
      </c>
      <c r="GD10" s="1452">
        <v>18.318993743242942</v>
      </c>
      <c r="GE10" s="1452">
        <v>18.992010550809084</v>
      </c>
      <c r="GF10" s="1452">
        <v>19.543735233633136</v>
      </c>
      <c r="GG10" s="1452">
        <v>19.886163350331515</v>
      </c>
      <c r="GH10" s="1452">
        <v>20.574926165884836</v>
      </c>
      <c r="GI10" s="1452">
        <v>24.67920254920412</v>
      </c>
      <c r="GJ10" s="1452">
        <v>25.571024828160251</v>
      </c>
      <c r="GK10" s="1452">
        <v>30.034124512722617</v>
      </c>
      <c r="GL10" s="4857">
        <v>29.809169797596006</v>
      </c>
      <c r="GM10" s="4858">
        <v>29.263269989189585</v>
      </c>
      <c r="GN10" s="4858">
        <v>29.566671308973152</v>
      </c>
      <c r="GO10" s="4859">
        <v>33</v>
      </c>
      <c r="GP10" s="4858">
        <v>41.45</v>
      </c>
      <c r="GQ10" s="4858">
        <v>53.37</v>
      </c>
      <c r="GR10" s="4858">
        <v>60.18</v>
      </c>
      <c r="GS10" s="4860">
        <f>AVERAGE(GN10:GR10)</f>
        <v>43.513334261794633</v>
      </c>
      <c r="GT10" s="4821" t="s">
        <v>1954</v>
      </c>
    </row>
    <row r="11" spans="1:250" s="226" customFormat="1" ht="61.8" thickBot="1">
      <c r="A11" s="4822"/>
      <c r="B11" s="4823"/>
      <c r="C11" s="4824"/>
      <c r="D11" s="4825"/>
      <c r="E11" s="4826"/>
      <c r="F11" s="4826"/>
      <c r="G11" s="4826"/>
      <c r="H11" s="4826"/>
      <c r="I11" s="4826"/>
      <c r="J11" s="4827"/>
      <c r="K11" s="4828"/>
      <c r="L11" s="4829"/>
      <c r="M11" s="4829"/>
      <c r="N11" s="4829"/>
      <c r="O11" s="4829"/>
      <c r="P11" s="4829"/>
      <c r="Q11" s="4829"/>
      <c r="R11" s="4829"/>
      <c r="S11" s="4829"/>
      <c r="T11" s="4829"/>
      <c r="U11" s="4829"/>
      <c r="V11" s="4830"/>
      <c r="W11" s="4831"/>
      <c r="X11" s="4832"/>
      <c r="Y11" s="4832"/>
      <c r="Z11" s="4832"/>
      <c r="AA11" s="4832"/>
      <c r="AB11" s="4832"/>
      <c r="AC11" s="4832"/>
      <c r="AD11" s="4832"/>
      <c r="AE11" s="4832"/>
      <c r="AF11" s="4832"/>
      <c r="AG11" s="4832"/>
      <c r="AH11" s="4833"/>
      <c r="AI11" s="4834"/>
      <c r="AJ11" s="4835"/>
      <c r="AK11" s="4835"/>
      <c r="AL11" s="4835"/>
      <c r="AM11" s="4835"/>
      <c r="AN11" s="4835"/>
      <c r="AO11" s="4835"/>
      <c r="AP11" s="4835"/>
      <c r="AQ11" s="4835"/>
      <c r="AR11" s="4835"/>
      <c r="AS11" s="4835"/>
      <c r="AT11" s="4836"/>
      <c r="AU11" s="4837"/>
      <c r="AV11" s="4838"/>
      <c r="AW11" s="4838"/>
      <c r="AX11" s="4838"/>
      <c r="AY11" s="4838"/>
      <c r="AZ11" s="4838"/>
      <c r="BA11" s="4838"/>
      <c r="BB11" s="4838"/>
      <c r="BC11" s="4838"/>
      <c r="BD11" s="4838"/>
      <c r="BE11" s="4838"/>
      <c r="BF11" s="4838"/>
      <c r="BG11" s="4839"/>
      <c r="BH11" s="4840"/>
      <c r="BI11" s="4840"/>
      <c r="BJ11" s="4840"/>
      <c r="BK11" s="4840"/>
      <c r="BL11" s="4840"/>
      <c r="BM11" s="4840"/>
      <c r="BN11" s="4840"/>
      <c r="BO11" s="4840"/>
      <c r="BP11" s="4840"/>
      <c r="BQ11" s="4840"/>
      <c r="BR11" s="4840"/>
      <c r="BS11" s="4841"/>
      <c r="BT11" s="4842"/>
      <c r="BU11" s="4842"/>
      <c r="BV11" s="4842"/>
      <c r="BW11" s="4842"/>
      <c r="BX11" s="4842"/>
      <c r="BY11" s="4842"/>
      <c r="BZ11" s="4842"/>
      <c r="CA11" s="4842"/>
      <c r="CB11" s="4842"/>
      <c r="CC11" s="4842"/>
      <c r="CD11" s="4842"/>
      <c r="CE11" s="4843"/>
      <c r="CF11" s="4843"/>
      <c r="CG11" s="4843"/>
      <c r="CH11" s="4843"/>
      <c r="CI11" s="4843"/>
      <c r="CJ11" s="4843"/>
      <c r="CK11" s="4843"/>
      <c r="CL11" s="4843"/>
      <c r="CM11" s="4843"/>
      <c r="CN11" s="4843"/>
      <c r="CO11" s="4843"/>
      <c r="CP11" s="4844"/>
      <c r="CQ11" s="4845"/>
      <c r="CR11" s="4845"/>
      <c r="CS11" s="4846"/>
      <c r="CT11" s="4846"/>
      <c r="CU11" s="4846"/>
      <c r="CV11" s="4846"/>
      <c r="CW11" s="4846"/>
      <c r="CX11" s="4846"/>
      <c r="CY11" s="4846"/>
      <c r="CZ11" s="2896"/>
      <c r="DC11" s="4847"/>
      <c r="DF11" s="4848"/>
      <c r="DG11" s="4848"/>
      <c r="DH11" s="4848"/>
      <c r="DI11" s="4848"/>
      <c r="DJ11" s="4849"/>
      <c r="DK11" s="4849"/>
      <c r="DL11" s="4849"/>
      <c r="DM11" s="4849"/>
      <c r="DN11" s="4849"/>
      <c r="DO11" s="4850"/>
      <c r="DP11" s="4849"/>
      <c r="DQ11" s="4849"/>
      <c r="DR11" s="4849"/>
      <c r="DS11" s="4849"/>
      <c r="DT11" s="4849"/>
      <c r="DU11" s="4849"/>
      <c r="DV11" s="4849"/>
      <c r="DW11" s="4849"/>
      <c r="DX11" s="4849"/>
      <c r="DY11" s="4849"/>
      <c r="DZ11" s="4849"/>
      <c r="EA11" s="4849"/>
      <c r="EB11" s="4849"/>
      <c r="EC11" s="4849"/>
      <c r="ED11" s="1603" t="s">
        <v>1079</v>
      </c>
      <c r="EE11" s="1603" t="s">
        <v>1079</v>
      </c>
      <c r="EF11" s="1603" t="s">
        <v>1080</v>
      </c>
      <c r="EG11" s="1603" t="s">
        <v>1080</v>
      </c>
      <c r="EH11" s="1603" t="s">
        <v>1081</v>
      </c>
      <c r="EI11" s="1603" t="s">
        <v>1082</v>
      </c>
      <c r="EJ11" s="1603" t="s">
        <v>1083</v>
      </c>
      <c r="EK11" s="1603" t="s">
        <v>1077</v>
      </c>
      <c r="EL11" s="1603" t="s">
        <v>1077</v>
      </c>
      <c r="EM11" s="1603" t="s">
        <v>1078</v>
      </c>
      <c r="EN11" s="4849"/>
      <c r="EO11" s="4849"/>
      <c r="EP11" s="1603" t="s">
        <v>1079</v>
      </c>
      <c r="EQ11" s="1603" t="s">
        <v>1079</v>
      </c>
      <c r="ER11" s="1603" t="s">
        <v>1080</v>
      </c>
      <c r="ES11" s="1603" t="s">
        <v>1080</v>
      </c>
      <c r="ET11" s="1603" t="s">
        <v>1081</v>
      </c>
      <c r="EU11" s="1603" t="s">
        <v>1082</v>
      </c>
      <c r="EV11" s="1603" t="s">
        <v>1083</v>
      </c>
      <c r="EW11" s="1603" t="s">
        <v>1083</v>
      </c>
      <c r="EX11" s="1603" t="s">
        <v>1078</v>
      </c>
      <c r="EY11" s="1603" t="s">
        <v>1078</v>
      </c>
      <c r="EZ11" s="4813"/>
      <c r="FA11" s="5686" t="s">
        <v>1957</v>
      </c>
      <c r="FB11" s="5687"/>
      <c r="FC11" s="5688" t="s">
        <v>1956</v>
      </c>
      <c r="FD11" s="5687"/>
      <c r="FE11" s="4798"/>
      <c r="FF11" s="4798"/>
      <c r="FG11" s="4798"/>
      <c r="FH11" s="4798"/>
      <c r="FI11" s="5688" t="s">
        <v>1959</v>
      </c>
      <c r="FJ11" s="5690"/>
      <c r="FK11" s="5688" t="s">
        <v>1958</v>
      </c>
      <c r="FL11" s="5689"/>
      <c r="FM11" s="1603"/>
      <c r="FN11" s="5686" t="s">
        <v>1955</v>
      </c>
      <c r="FO11" s="5687"/>
      <c r="FP11" s="5688" t="s">
        <v>1956</v>
      </c>
      <c r="FQ11" s="5687"/>
      <c r="FR11" s="4820"/>
      <c r="FS11" s="4798"/>
      <c r="FT11" s="4798"/>
      <c r="FU11" s="4798"/>
      <c r="FV11" s="4798"/>
      <c r="FW11" s="4798"/>
      <c r="FX11" s="4798"/>
      <c r="FY11" s="4799"/>
      <c r="FZ11" s="4802"/>
      <c r="GA11" s="4851"/>
      <c r="GB11" s="4876"/>
      <c r="GC11" s="5691" t="s">
        <v>319</v>
      </c>
      <c r="GD11" s="5692"/>
      <c r="GE11" s="5692"/>
      <c r="GF11" s="5692"/>
      <c r="GG11" s="5692"/>
      <c r="GH11" s="5692"/>
      <c r="GI11" s="5692"/>
      <c r="GJ11" s="5692"/>
      <c r="GK11" s="5692"/>
      <c r="GL11" s="5692"/>
      <c r="GM11" s="5692"/>
      <c r="GN11" s="5692"/>
      <c r="GO11" s="4877"/>
      <c r="GP11" s="5685" t="s">
        <v>1577</v>
      </c>
      <c r="GQ11" s="5685"/>
      <c r="GR11" s="4878" t="s">
        <v>1873</v>
      </c>
      <c r="GS11" s="4879" t="s">
        <v>1961</v>
      </c>
    </row>
    <row r="12" spans="1:250" ht="13.8">
      <c r="CR12" s="2"/>
      <c r="GC12" s="1000" t="s">
        <v>1075</v>
      </c>
      <c r="GD12" s="1001"/>
      <c r="GE12" s="1001"/>
      <c r="GF12" s="1001"/>
      <c r="GG12" s="1001"/>
      <c r="GH12" s="1001"/>
      <c r="GI12" s="1001"/>
      <c r="GJ12" s="1001"/>
      <c r="GK12" s="1001"/>
      <c r="GL12" s="1001"/>
      <c r="GM12" s="1001"/>
      <c r="GN12" s="1001"/>
      <c r="GO12" s="1001"/>
      <c r="GP12" s="1001"/>
    </row>
    <row r="13" spans="1:250" customFormat="1" ht="14.4">
      <c r="EZ13" s="4500"/>
      <c r="FA13" s="4500"/>
      <c r="FB13" s="4500"/>
      <c r="FC13" s="4500"/>
      <c r="FD13" s="4500"/>
      <c r="FE13" s="4500"/>
      <c r="FF13" s="4500"/>
      <c r="FG13" s="4500"/>
      <c r="FH13" s="4500"/>
      <c r="FI13" s="4500"/>
      <c r="FJ13" s="4500"/>
      <c r="FK13" s="4500"/>
      <c r="FL13" s="4500"/>
      <c r="FM13" s="4500"/>
      <c r="FN13" s="4500"/>
      <c r="FO13" s="4500"/>
      <c r="FP13" s="4500"/>
      <c r="FQ13" s="4500"/>
      <c r="FR13" s="4500"/>
      <c r="FS13" s="4500"/>
      <c r="FT13" s="4500"/>
      <c r="FU13" s="4500"/>
      <c r="FV13" s="4500"/>
      <c r="FW13" s="4500"/>
      <c r="FX13" s="4500"/>
      <c r="FY13" s="4500"/>
      <c r="FZ13" s="48"/>
      <c r="GA13" s="4500"/>
      <c r="GS13" s="4500"/>
    </row>
    <row r="14" spans="1:250" customFormat="1" ht="14.4">
      <c r="EZ14" s="4500"/>
      <c r="FA14" s="4500"/>
      <c r="FB14" s="4500"/>
      <c r="FC14" s="4500"/>
      <c r="FD14" s="4500"/>
      <c r="FE14" s="4500"/>
      <c r="FF14" s="4500"/>
      <c r="FG14" s="4500"/>
      <c r="FH14" s="4500"/>
      <c r="FI14" s="4500"/>
      <c r="FJ14" s="4500"/>
      <c r="FK14" s="4500"/>
      <c r="FL14" s="4500"/>
      <c r="FM14" s="4500"/>
      <c r="FN14" s="4500"/>
      <c r="FO14" s="4500"/>
      <c r="FP14" s="4500"/>
      <c r="FQ14" s="4500"/>
      <c r="FR14" s="4500"/>
      <c r="FS14" s="4500"/>
      <c r="FT14" s="4500"/>
      <c r="FU14" s="4500"/>
      <c r="FV14" s="4500"/>
      <c r="FW14" s="4500"/>
      <c r="FX14" s="4500"/>
      <c r="FY14" s="4500"/>
      <c r="FZ14" s="48"/>
      <c r="GA14" s="4500"/>
      <c r="GS14" s="4500"/>
    </row>
    <row r="15" spans="1:250" customFormat="1" ht="14.4">
      <c r="EZ15" s="4500"/>
      <c r="FA15" s="4500"/>
      <c r="FB15" s="4500"/>
      <c r="FC15" s="4500"/>
      <c r="FD15" s="4500"/>
      <c r="FE15" s="4500"/>
      <c r="FF15" s="4500"/>
      <c r="FG15" s="4500"/>
      <c r="FH15" s="4500"/>
      <c r="FI15" s="4500"/>
      <c r="FJ15" s="4500"/>
      <c r="FK15" s="4500"/>
      <c r="FL15" s="4500"/>
      <c r="FM15" s="4500"/>
      <c r="FN15" s="4500"/>
      <c r="FO15" s="4500"/>
      <c r="FP15" s="4500"/>
      <c r="FQ15" s="4500"/>
      <c r="FR15" s="4500"/>
      <c r="FS15" s="4500"/>
      <c r="FT15" s="4500"/>
      <c r="FU15" s="4500"/>
      <c r="FV15" s="4500"/>
      <c r="FW15" s="4500"/>
      <c r="FX15" s="4500"/>
      <c r="FY15" s="4500"/>
      <c r="FZ15" s="48"/>
      <c r="GA15" s="4500"/>
      <c r="GS15" s="4500"/>
    </row>
    <row r="16" spans="1:250" customFormat="1" ht="14.4">
      <c r="EZ16" s="4500"/>
      <c r="FA16" s="4500"/>
      <c r="FB16" s="4500"/>
      <c r="FC16" s="4500"/>
      <c r="FD16" s="4500"/>
      <c r="FE16" s="4500"/>
      <c r="FF16" s="4500"/>
      <c r="FG16" s="4500"/>
      <c r="FH16" s="4500"/>
      <c r="FI16" s="4500"/>
      <c r="FJ16" s="4500"/>
      <c r="FK16" s="4500"/>
      <c r="FL16" s="4500"/>
      <c r="FM16" s="4500"/>
      <c r="FN16" s="4500"/>
      <c r="FO16" s="4500"/>
      <c r="FP16" s="4500"/>
      <c r="FQ16" s="4500"/>
      <c r="FR16" s="4500"/>
      <c r="FS16" s="4500"/>
      <c r="FT16" s="4500"/>
      <c r="FU16" s="4500"/>
      <c r="FV16" s="4500"/>
      <c r="FW16" s="4500"/>
      <c r="FX16" s="4500"/>
      <c r="FY16" s="4500"/>
      <c r="FZ16" s="48"/>
      <c r="GA16" s="4500"/>
      <c r="GS16" s="4500"/>
    </row>
    <row r="17" spans="156:201" customFormat="1" ht="14.4">
      <c r="EZ17" s="4500"/>
      <c r="FA17" s="4500"/>
      <c r="FB17" s="4500"/>
      <c r="FC17" s="4500"/>
      <c r="FD17" s="4500"/>
      <c r="FE17" s="4500"/>
      <c r="FF17" s="4500"/>
      <c r="FG17" s="4500"/>
      <c r="FH17" s="4500"/>
      <c r="FI17" s="4500"/>
      <c r="FJ17" s="4500"/>
      <c r="FK17" s="4500"/>
      <c r="FL17" s="4500"/>
      <c r="FM17" s="4500"/>
      <c r="FN17" s="4500"/>
      <c r="FO17" s="4500"/>
      <c r="FP17" s="4500"/>
      <c r="FQ17" s="4500"/>
      <c r="FR17" s="4500"/>
      <c r="FS17" s="4500"/>
      <c r="FT17" s="4500"/>
      <c r="FU17" s="4500"/>
      <c r="FV17" s="4500"/>
      <c r="FW17" s="4500"/>
      <c r="FX17" s="4500"/>
      <c r="FY17" s="4500"/>
      <c r="FZ17" s="48"/>
      <c r="GA17" s="4500"/>
      <c r="GS17" s="4500"/>
    </row>
    <row r="18" spans="156:201" customFormat="1" ht="14.4">
      <c r="EZ18" s="4500"/>
      <c r="FA18" s="4500"/>
      <c r="FB18" s="4500"/>
      <c r="FC18" s="4500"/>
      <c r="FD18" s="4500"/>
      <c r="FE18" s="4500"/>
      <c r="FF18" s="4500"/>
      <c r="FG18" s="4500"/>
      <c r="FH18" s="4500"/>
      <c r="FI18" s="4500"/>
      <c r="FJ18" s="4500"/>
      <c r="FK18" s="4500"/>
      <c r="FL18" s="4500"/>
      <c r="FM18" s="4500"/>
      <c r="FN18" s="4500"/>
      <c r="FO18" s="4500"/>
      <c r="FP18" s="4500"/>
      <c r="FQ18" s="4500"/>
      <c r="FR18" s="4500"/>
      <c r="FS18" s="4500"/>
      <c r="FT18" s="4500"/>
      <c r="FU18" s="4500"/>
      <c r="FV18" s="4500"/>
      <c r="FW18" s="4500"/>
      <c r="FX18" s="4500"/>
      <c r="FY18" s="4500"/>
      <c r="FZ18" s="48"/>
      <c r="GA18" s="4500"/>
      <c r="GS18" s="4500"/>
    </row>
    <row r="19" spans="156:201" customFormat="1" ht="14.4">
      <c r="EZ19" s="4500"/>
      <c r="FA19" s="4500"/>
      <c r="FB19" s="4500"/>
      <c r="FC19" s="4500"/>
      <c r="FD19" s="4500"/>
      <c r="FE19" s="4500"/>
      <c r="FF19" s="4500"/>
      <c r="FG19" s="4500"/>
      <c r="FH19" s="4500"/>
      <c r="FI19" s="4500"/>
      <c r="FJ19" s="4500"/>
      <c r="FK19" s="4500"/>
      <c r="FL19" s="4500"/>
      <c r="FM19" s="4500"/>
      <c r="FN19" s="4500"/>
      <c r="FO19" s="4500"/>
      <c r="FP19" s="4500"/>
      <c r="FQ19" s="4500"/>
      <c r="FR19" s="4500"/>
      <c r="FS19" s="4500"/>
      <c r="FT19" s="4500"/>
      <c r="FU19" s="4500"/>
      <c r="FV19" s="4500"/>
      <c r="FW19" s="4500"/>
      <c r="FX19" s="4500"/>
      <c r="FY19" s="4500"/>
      <c r="FZ19" s="48"/>
      <c r="GA19" s="4500"/>
      <c r="GS19" s="4500"/>
    </row>
    <row r="20" spans="156:201" customFormat="1" ht="14.4">
      <c r="EZ20" s="4500"/>
      <c r="FA20" s="4500"/>
      <c r="FB20" s="4500"/>
      <c r="FC20" s="4500"/>
      <c r="FD20" s="4500"/>
      <c r="FE20" s="4500"/>
      <c r="FF20" s="4500"/>
      <c r="FG20" s="4500"/>
      <c r="FH20" s="4500"/>
      <c r="FI20" s="4500"/>
      <c r="FJ20" s="4500"/>
      <c r="FK20" s="4500"/>
      <c r="FL20" s="4500"/>
      <c r="FM20" s="4500"/>
      <c r="FN20" s="4500"/>
      <c r="FO20" s="4500"/>
      <c r="FP20" s="4500"/>
      <c r="FQ20" s="4500"/>
      <c r="FR20" s="4500"/>
      <c r="FS20" s="4500"/>
      <c r="FT20" s="4500"/>
      <c r="FU20" s="4500"/>
      <c r="FV20" s="4500"/>
      <c r="FW20" s="4500"/>
      <c r="FX20" s="4500"/>
      <c r="FY20" s="4500"/>
      <c r="FZ20" s="48"/>
      <c r="GA20" s="4500"/>
      <c r="GS20" s="4500"/>
    </row>
    <row r="21" spans="156:201" customFormat="1" ht="14.4">
      <c r="EZ21" s="4500"/>
      <c r="FA21" s="4500"/>
      <c r="FB21" s="4500"/>
      <c r="FC21" s="4500"/>
      <c r="FD21" s="4500"/>
      <c r="FE21" s="4500"/>
      <c r="FF21" s="4500"/>
      <c r="FG21" s="4500"/>
      <c r="FH21" s="4500"/>
      <c r="FI21" s="4500"/>
      <c r="FJ21" s="4500"/>
      <c r="FK21" s="4500"/>
      <c r="FL21" s="4500"/>
      <c r="FM21" s="4500"/>
      <c r="FN21" s="4500"/>
      <c r="FO21" s="4500"/>
      <c r="FP21" s="4500"/>
      <c r="FQ21" s="4500"/>
      <c r="FR21" s="4500"/>
      <c r="FS21" s="4500"/>
      <c r="FT21" s="4500"/>
      <c r="FU21" s="4500"/>
      <c r="FV21" s="4500"/>
      <c r="FW21" s="4500"/>
      <c r="FX21" s="4500"/>
      <c r="FY21" s="4500"/>
      <c r="FZ21" s="48"/>
      <c r="GA21" s="4500"/>
      <c r="GS21" s="4500"/>
    </row>
    <row r="22" spans="156:201" customFormat="1" ht="14.4">
      <c r="EZ22" s="4500"/>
      <c r="FA22" s="4500"/>
      <c r="FB22" s="4500"/>
      <c r="FC22" s="4500"/>
      <c r="FD22" s="4500"/>
      <c r="FE22" s="4500"/>
      <c r="FF22" s="4500"/>
      <c r="FG22" s="4500"/>
      <c r="FH22" s="4500"/>
      <c r="FI22" s="4500"/>
      <c r="FJ22" s="4500"/>
      <c r="FK22" s="4500"/>
      <c r="FL22" s="4500"/>
      <c r="FM22" s="4500"/>
      <c r="FN22" s="4500"/>
      <c r="FO22" s="4500"/>
      <c r="FP22" s="4500"/>
      <c r="FQ22" s="4500"/>
      <c r="FR22" s="4500"/>
      <c r="FS22" s="4500"/>
      <c r="FT22" s="4500"/>
      <c r="FU22" s="4500"/>
      <c r="FV22" s="4500"/>
      <c r="FW22" s="4500"/>
      <c r="FX22" s="4500"/>
      <c r="FY22" s="4500"/>
      <c r="FZ22" s="48"/>
      <c r="GA22" s="4500"/>
      <c r="GS22" s="4500"/>
    </row>
    <row r="23" spans="156:201" customFormat="1" ht="12.75" customHeight="1">
      <c r="EZ23" s="4500"/>
      <c r="FA23" s="4500"/>
      <c r="FB23" s="4500"/>
      <c r="FC23" s="4500"/>
      <c r="FD23" s="4500"/>
      <c r="FE23" s="4500"/>
      <c r="FF23" s="4500"/>
      <c r="FG23" s="4500"/>
      <c r="FH23" s="4500"/>
      <c r="FI23" s="4500"/>
      <c r="FJ23" s="4500"/>
      <c r="FK23" s="4500"/>
      <c r="FL23" s="4500"/>
      <c r="FM23" s="4500"/>
      <c r="FN23" s="4500"/>
      <c r="FO23" s="4500"/>
      <c r="FP23" s="4500"/>
      <c r="FQ23" s="4500"/>
      <c r="FR23" s="4500"/>
      <c r="FS23" s="4500"/>
      <c r="FT23" s="4500"/>
      <c r="FU23" s="4500"/>
      <c r="FV23" s="4500"/>
      <c r="FW23" s="4500"/>
      <c r="FX23" s="4500"/>
      <c r="FY23" s="4500"/>
      <c r="FZ23" s="48"/>
      <c r="GA23" s="4500"/>
      <c r="GS23" s="4500"/>
    </row>
    <row r="24" spans="156:201" customFormat="1" ht="12.75" customHeight="1">
      <c r="EZ24" s="4500"/>
      <c r="FA24" s="4500"/>
      <c r="FB24" s="4500"/>
      <c r="FC24" s="4500"/>
      <c r="FD24" s="4500"/>
      <c r="FE24" s="4500"/>
      <c r="FF24" s="4500"/>
      <c r="FG24" s="4500"/>
      <c r="FH24" s="4500"/>
      <c r="FI24" s="4500"/>
      <c r="FJ24" s="4500"/>
      <c r="FK24" s="4500"/>
      <c r="FL24" s="4500"/>
      <c r="FM24" s="4500"/>
      <c r="FN24" s="4500"/>
      <c r="FO24" s="4500"/>
      <c r="FP24" s="4500"/>
      <c r="FQ24" s="4500"/>
      <c r="FR24" s="4500"/>
      <c r="FS24" s="4500"/>
      <c r="FT24" s="4500"/>
      <c r="FU24" s="4500"/>
      <c r="FV24" s="4500"/>
      <c r="FW24" s="4500"/>
      <c r="FX24" s="4500"/>
      <c r="FY24" s="4500"/>
      <c r="FZ24" s="48"/>
      <c r="GA24" s="4500"/>
      <c r="GS24" s="4500"/>
    </row>
    <row r="25" spans="156:201" customFormat="1" ht="12.75" customHeight="1">
      <c r="EZ25" s="4500"/>
      <c r="FA25" s="4500"/>
      <c r="FB25" s="4500"/>
      <c r="FC25" s="4500"/>
      <c r="FD25" s="4500"/>
      <c r="FE25" s="4500"/>
      <c r="FF25" s="4500"/>
      <c r="FG25" s="4500"/>
      <c r="FH25" s="4500"/>
      <c r="FI25" s="4500"/>
      <c r="FJ25" s="4500"/>
      <c r="FK25" s="4500"/>
      <c r="FL25" s="4500"/>
      <c r="FM25" s="4500"/>
      <c r="FN25" s="4500"/>
      <c r="FO25" s="4500"/>
      <c r="FP25" s="4500"/>
      <c r="FQ25" s="4500"/>
      <c r="FR25" s="4500"/>
      <c r="FS25" s="4500"/>
      <c r="FT25" s="4500"/>
      <c r="FU25" s="4500"/>
      <c r="FV25" s="4500"/>
      <c r="FW25" s="4500"/>
      <c r="FX25" s="4500"/>
      <c r="FY25" s="4500"/>
      <c r="FZ25" s="48"/>
      <c r="GA25" s="4500"/>
      <c r="GS25" s="4500"/>
    </row>
    <row r="26" spans="156:201" customFormat="1" ht="12.75" customHeight="1">
      <c r="EZ26" s="4500"/>
      <c r="FA26" s="4500"/>
      <c r="FB26" s="4500"/>
      <c r="FC26" s="4500"/>
      <c r="FD26" s="4500"/>
      <c r="FE26" s="4500"/>
      <c r="FF26" s="4500"/>
      <c r="FG26" s="4500"/>
      <c r="FH26" s="4500"/>
      <c r="FI26" s="4500"/>
      <c r="FJ26" s="4500"/>
      <c r="FK26" s="4500"/>
      <c r="FL26" s="4500"/>
      <c r="FM26" s="4500"/>
      <c r="FN26" s="4500"/>
      <c r="FO26" s="4500"/>
      <c r="FP26" s="4500"/>
      <c r="FQ26" s="4500"/>
      <c r="FR26" s="4500"/>
      <c r="FS26" s="4500"/>
      <c r="FT26" s="4500"/>
      <c r="FU26" s="4500"/>
      <c r="FV26" s="4500"/>
      <c r="FW26" s="4500"/>
      <c r="FX26" s="4500"/>
      <c r="FY26" s="4500"/>
      <c r="FZ26" s="48"/>
      <c r="GA26" s="4500"/>
      <c r="GS26" s="4500"/>
    </row>
    <row r="27" spans="156:201" customFormat="1" ht="12.75" customHeight="1">
      <c r="EZ27" s="4500"/>
      <c r="FA27" s="4500"/>
      <c r="FB27" s="4500"/>
      <c r="FC27" s="4500"/>
      <c r="FD27" s="4500"/>
      <c r="FE27" s="4500"/>
      <c r="FF27" s="4500"/>
      <c r="FG27" s="4500"/>
      <c r="FH27" s="4500"/>
      <c r="FI27" s="4500"/>
      <c r="FJ27" s="4500"/>
      <c r="FK27" s="4500"/>
      <c r="FL27" s="4500"/>
      <c r="FM27" s="4500"/>
      <c r="FN27" s="4500"/>
      <c r="FO27" s="4500"/>
      <c r="FP27" s="4500"/>
      <c r="FQ27" s="4500"/>
      <c r="FR27" s="4500"/>
      <c r="FS27" s="4500"/>
      <c r="FT27" s="4500"/>
      <c r="FU27" s="4500"/>
      <c r="FV27" s="4500"/>
      <c r="FW27" s="4500"/>
      <c r="FX27" s="4500"/>
      <c r="FY27" s="4500"/>
      <c r="FZ27" s="48"/>
      <c r="GA27" s="4500"/>
      <c r="GS27" s="4500"/>
    </row>
    <row r="28" spans="156:201" customFormat="1" ht="12.75" customHeight="1">
      <c r="EZ28" s="4500"/>
      <c r="FA28" s="4500"/>
      <c r="FB28" s="4500"/>
      <c r="FC28" s="4500"/>
      <c r="FD28" s="4500"/>
      <c r="FE28" s="4500"/>
      <c r="FF28" s="4500"/>
      <c r="FG28" s="4500"/>
      <c r="FH28" s="4500"/>
      <c r="FI28" s="4500"/>
      <c r="FJ28" s="4500"/>
      <c r="FK28" s="4500"/>
      <c r="FL28" s="4500"/>
      <c r="FM28" s="4500"/>
      <c r="FN28" s="4500"/>
      <c r="FO28" s="4500"/>
      <c r="FP28" s="4500"/>
      <c r="FQ28" s="4500"/>
      <c r="FR28" s="4500"/>
      <c r="FS28" s="4500"/>
      <c r="FT28" s="4500"/>
      <c r="FU28" s="4500"/>
      <c r="FV28" s="4500"/>
      <c r="FW28" s="4500"/>
      <c r="FX28" s="4500"/>
      <c r="FY28" s="4500"/>
      <c r="FZ28" s="48"/>
      <c r="GA28" s="4500"/>
      <c r="GS28" s="4500"/>
    </row>
    <row r="29" spans="156:201" customFormat="1" ht="12.75" customHeight="1">
      <c r="EZ29" s="4500"/>
      <c r="FA29" s="4500"/>
      <c r="FB29" s="4500"/>
      <c r="FC29" s="4500"/>
      <c r="FD29" s="4500"/>
      <c r="FE29" s="4500"/>
      <c r="FF29" s="4500"/>
      <c r="FG29" s="4500"/>
      <c r="FH29" s="4500"/>
      <c r="FI29" s="4500"/>
      <c r="FJ29" s="4500"/>
      <c r="FK29" s="4500"/>
      <c r="FL29" s="4500"/>
      <c r="FM29" s="4500"/>
      <c r="FN29" s="4500"/>
      <c r="FO29" s="4500"/>
      <c r="FP29" s="4500"/>
      <c r="FQ29" s="4500"/>
      <c r="FR29" s="4500"/>
      <c r="FS29" s="4500"/>
      <c r="FT29" s="4500"/>
      <c r="FU29" s="4500"/>
      <c r="FV29" s="4500"/>
      <c r="FW29" s="4500"/>
      <c r="FX29" s="4500"/>
      <c r="FY29" s="4500"/>
      <c r="FZ29" s="48"/>
      <c r="GA29" s="4500"/>
      <c r="GS29" s="4500"/>
    </row>
    <row r="30" spans="156:201" customFormat="1" ht="12.75" customHeight="1">
      <c r="EZ30" s="4500"/>
      <c r="FA30" s="4500"/>
      <c r="FB30" s="4500"/>
      <c r="FC30" s="4500"/>
      <c r="FD30" s="4500"/>
      <c r="FE30" s="4500"/>
      <c r="FF30" s="4500"/>
      <c r="FG30" s="4500"/>
      <c r="FH30" s="4500"/>
      <c r="FI30" s="4500"/>
      <c r="FJ30" s="4500"/>
      <c r="FK30" s="4500"/>
      <c r="FL30" s="4500"/>
      <c r="FM30" s="4500"/>
      <c r="FN30" s="4500"/>
      <c r="FO30" s="4500"/>
      <c r="FP30" s="4500"/>
      <c r="FQ30" s="4500"/>
      <c r="FR30" s="4500"/>
      <c r="FS30" s="4500"/>
      <c r="FT30" s="4500"/>
      <c r="FU30" s="4500"/>
      <c r="FV30" s="4500"/>
      <c r="FW30" s="4500"/>
      <c r="FX30" s="4500"/>
      <c r="FY30" s="4500"/>
      <c r="FZ30" s="48"/>
      <c r="GA30" s="4500"/>
      <c r="GS30" s="4500"/>
    </row>
    <row r="31" spans="156:201" customFormat="1" ht="12.75" customHeight="1">
      <c r="EZ31" s="4500"/>
      <c r="FA31" s="4500"/>
      <c r="FB31" s="4500"/>
      <c r="FC31" s="4500"/>
      <c r="FD31" s="4500"/>
      <c r="FE31" s="4500"/>
      <c r="FF31" s="4500"/>
      <c r="FG31" s="4500"/>
      <c r="FH31" s="4500"/>
      <c r="FI31" s="4500"/>
      <c r="FJ31" s="4500"/>
      <c r="FK31" s="4500"/>
      <c r="FL31" s="4500"/>
      <c r="FM31" s="4500"/>
      <c r="FN31" s="4500"/>
      <c r="FO31" s="4500"/>
      <c r="FP31" s="4500"/>
      <c r="FQ31" s="4500"/>
      <c r="FR31" s="4500"/>
      <c r="FS31" s="4500"/>
      <c r="FT31" s="4500"/>
      <c r="FU31" s="4500"/>
      <c r="FV31" s="4500"/>
      <c r="FW31" s="4500"/>
      <c r="FX31" s="4500"/>
      <c r="FY31" s="4500"/>
      <c r="FZ31" s="48"/>
      <c r="GA31" s="4500"/>
      <c r="GS31" s="4500"/>
    </row>
    <row r="32" spans="156:201" customFormat="1" ht="12.75" customHeight="1">
      <c r="EZ32" s="4500"/>
      <c r="FA32" s="4500"/>
      <c r="FB32" s="4500"/>
      <c r="FC32" s="4500"/>
      <c r="FD32" s="4500"/>
      <c r="FE32" s="4500"/>
      <c r="FF32" s="4500"/>
      <c r="FG32" s="4500"/>
      <c r="FH32" s="4500"/>
      <c r="FI32" s="4500"/>
      <c r="FJ32" s="4500"/>
      <c r="FK32" s="4500"/>
      <c r="FL32" s="4500"/>
      <c r="FM32" s="4500"/>
      <c r="FN32" s="4500"/>
      <c r="FO32" s="4500"/>
      <c r="FP32" s="4500"/>
      <c r="FQ32" s="4500"/>
      <c r="FR32" s="4500"/>
      <c r="FS32" s="4500"/>
      <c r="FT32" s="4500"/>
      <c r="FU32" s="4500"/>
      <c r="FV32" s="4500"/>
      <c r="FW32" s="4500"/>
      <c r="FX32" s="4500"/>
      <c r="FY32" s="4500"/>
      <c r="FZ32" s="48"/>
      <c r="GA32" s="4500"/>
      <c r="GS32" s="4500"/>
    </row>
    <row r="33" spans="156:201" customFormat="1" ht="12.75" customHeight="1">
      <c r="EZ33" s="4500"/>
      <c r="FA33" s="4500"/>
      <c r="FB33" s="4500"/>
      <c r="FC33" s="4500"/>
      <c r="FD33" s="4500"/>
      <c r="FE33" s="4500"/>
      <c r="FF33" s="4500"/>
      <c r="FG33" s="4500"/>
      <c r="FH33" s="4500"/>
      <c r="FI33" s="4500"/>
      <c r="FJ33" s="4500"/>
      <c r="FK33" s="4500"/>
      <c r="FL33" s="4500"/>
      <c r="FM33" s="4500"/>
      <c r="FN33" s="4500"/>
      <c r="FO33" s="4500"/>
      <c r="FP33" s="4500"/>
      <c r="FQ33" s="4500"/>
      <c r="FR33" s="4500"/>
      <c r="FS33" s="4500"/>
      <c r="FT33" s="4500"/>
      <c r="FU33" s="4500"/>
      <c r="FV33" s="4500"/>
      <c r="FW33" s="4500"/>
      <c r="FX33" s="4500"/>
      <c r="FY33" s="4500"/>
      <c r="FZ33" s="48"/>
      <c r="GA33" s="4500"/>
      <c r="GS33" s="4500"/>
    </row>
    <row r="34" spans="156:201" customFormat="1" ht="12.75" customHeight="1">
      <c r="EZ34" s="4500"/>
      <c r="FA34" s="4500"/>
      <c r="FB34" s="4500"/>
      <c r="FC34" s="4500"/>
      <c r="FD34" s="4500"/>
      <c r="FE34" s="4500"/>
      <c r="FF34" s="4500"/>
      <c r="FG34" s="4500"/>
      <c r="FH34" s="4500"/>
      <c r="FI34" s="4500"/>
      <c r="FJ34" s="4500"/>
      <c r="FK34" s="4500"/>
      <c r="FL34" s="4500"/>
      <c r="FM34" s="4500"/>
      <c r="FN34" s="4500"/>
      <c r="FO34" s="4500"/>
      <c r="FP34" s="4500"/>
      <c r="FQ34" s="4500"/>
      <c r="FR34" s="4500"/>
      <c r="FS34" s="4500"/>
      <c r="FT34" s="4500"/>
      <c r="FU34" s="4500"/>
      <c r="FV34" s="4500"/>
      <c r="FW34" s="4500"/>
      <c r="FX34" s="4500"/>
      <c r="FY34" s="4500"/>
      <c r="FZ34" s="48"/>
      <c r="GA34" s="4500"/>
      <c r="GS34" s="4500"/>
    </row>
    <row r="35" spans="156:201" customFormat="1" ht="12.75" customHeight="1">
      <c r="EZ35" s="4500"/>
      <c r="FA35" s="4500"/>
      <c r="FB35" s="4500"/>
      <c r="FC35" s="4500"/>
      <c r="FD35" s="4500"/>
      <c r="FE35" s="4500"/>
      <c r="FF35" s="4500"/>
      <c r="FG35" s="4500"/>
      <c r="FH35" s="4500"/>
      <c r="FI35" s="4500"/>
      <c r="FJ35" s="4500"/>
      <c r="FK35" s="4500"/>
      <c r="FL35" s="4500"/>
      <c r="FM35" s="4500"/>
      <c r="FN35" s="4500"/>
      <c r="FO35" s="4500"/>
      <c r="FP35" s="4500"/>
      <c r="FQ35" s="4500"/>
      <c r="FR35" s="4500"/>
      <c r="FS35" s="4500"/>
      <c r="FT35" s="4500"/>
      <c r="FU35" s="4500"/>
      <c r="FV35" s="4500"/>
      <c r="FW35" s="4500"/>
      <c r="FX35" s="4500"/>
      <c r="FY35" s="4500"/>
      <c r="FZ35" s="48"/>
      <c r="GA35" s="4500"/>
      <c r="GS35" s="4500"/>
    </row>
    <row r="36" spans="156:201" customFormat="1" ht="12.75" customHeight="1">
      <c r="EZ36" s="4500"/>
      <c r="FA36" s="4500"/>
      <c r="FB36" s="4500"/>
      <c r="FC36" s="4500"/>
      <c r="FD36" s="4500"/>
      <c r="FE36" s="4500"/>
      <c r="FF36" s="4500"/>
      <c r="FG36" s="4500"/>
      <c r="FH36" s="4500"/>
      <c r="FI36" s="4500"/>
      <c r="FJ36" s="4500"/>
      <c r="FK36" s="4500"/>
      <c r="FL36" s="4500"/>
      <c r="FM36" s="4500"/>
      <c r="FN36" s="4500"/>
      <c r="FO36" s="4500"/>
      <c r="FP36" s="4500"/>
      <c r="FQ36" s="4500"/>
      <c r="FR36" s="4500"/>
      <c r="FS36" s="4500"/>
      <c r="FT36" s="4500"/>
      <c r="FU36" s="4500"/>
      <c r="FV36" s="4500"/>
      <c r="FW36" s="4500"/>
      <c r="FX36" s="4500"/>
      <c r="FY36" s="4500"/>
      <c r="FZ36" s="48"/>
      <c r="GA36" s="4500"/>
      <c r="GS36" s="4500"/>
    </row>
    <row r="37" spans="156:201" customFormat="1" ht="12.75" customHeight="1">
      <c r="EZ37" s="4500"/>
      <c r="FA37" s="4500"/>
      <c r="FB37" s="4500"/>
      <c r="FC37" s="4500"/>
      <c r="FD37" s="4500"/>
      <c r="FE37" s="4500"/>
      <c r="FF37" s="4500"/>
      <c r="FG37" s="4500"/>
      <c r="FH37" s="4500"/>
      <c r="FI37" s="4500"/>
      <c r="FJ37" s="4500"/>
      <c r="FK37" s="4500"/>
      <c r="FL37" s="4500"/>
      <c r="FM37" s="4500"/>
      <c r="FN37" s="4500"/>
      <c r="FO37" s="4500"/>
      <c r="FP37" s="4500"/>
      <c r="FQ37" s="4500"/>
      <c r="FR37" s="4500"/>
      <c r="FS37" s="4500"/>
      <c r="FT37" s="4500"/>
      <c r="FU37" s="4500"/>
      <c r="FV37" s="4500"/>
      <c r="FW37" s="4500"/>
      <c r="FX37" s="4500"/>
      <c r="FY37" s="4500"/>
      <c r="FZ37" s="48"/>
      <c r="GA37" s="4500"/>
      <c r="GS37" s="4500"/>
    </row>
    <row r="38" spans="156:201" customFormat="1" ht="12.75" customHeight="1">
      <c r="EZ38" s="4500"/>
      <c r="FA38" s="4500"/>
      <c r="FB38" s="4500"/>
      <c r="FC38" s="4500"/>
      <c r="FD38" s="4500"/>
      <c r="FE38" s="4500"/>
      <c r="FF38" s="4500"/>
      <c r="FG38" s="4500"/>
      <c r="FH38" s="4500"/>
      <c r="FI38" s="4500"/>
      <c r="FJ38" s="4500"/>
      <c r="FK38" s="4500"/>
      <c r="FL38" s="4500"/>
      <c r="FM38" s="4500"/>
      <c r="FN38" s="4500"/>
      <c r="FO38" s="4500"/>
      <c r="FP38" s="4500"/>
      <c r="FQ38" s="4500"/>
      <c r="FR38" s="4500"/>
      <c r="FS38" s="4500"/>
      <c r="FT38" s="4500"/>
      <c r="FU38" s="4500"/>
      <c r="FV38" s="4500"/>
      <c r="FW38" s="4500"/>
      <c r="FX38" s="4500"/>
      <c r="FY38" s="4500"/>
      <c r="FZ38" s="48"/>
      <c r="GA38" s="4500"/>
      <c r="GS38" s="4500"/>
    </row>
    <row r="39" spans="156:201" customFormat="1" ht="12.75" customHeight="1">
      <c r="EZ39" s="4500"/>
      <c r="FA39" s="4500"/>
      <c r="FB39" s="4500"/>
      <c r="FC39" s="4500"/>
      <c r="FD39" s="4500"/>
      <c r="FE39" s="4500"/>
      <c r="FF39" s="4500"/>
      <c r="FG39" s="4500"/>
      <c r="FH39" s="4500"/>
      <c r="FI39" s="4500"/>
      <c r="FJ39" s="4500"/>
      <c r="FK39" s="4500"/>
      <c r="FL39" s="4500"/>
      <c r="FM39" s="4500"/>
      <c r="FN39" s="4500"/>
      <c r="FO39" s="4500"/>
      <c r="FP39" s="4500"/>
      <c r="FQ39" s="4500"/>
      <c r="FR39" s="4500"/>
      <c r="FS39" s="4500"/>
      <c r="FT39" s="4500"/>
      <c r="FU39" s="4500"/>
      <c r="FV39" s="4500"/>
      <c r="FW39" s="4500"/>
      <c r="FX39" s="4500"/>
      <c r="FY39" s="4500"/>
      <c r="FZ39" s="48"/>
      <c r="GA39" s="4500"/>
      <c r="GS39" s="4500"/>
    </row>
    <row r="40" spans="156:201" customFormat="1" ht="12.75" customHeight="1">
      <c r="EZ40" s="4500"/>
      <c r="FA40" s="4500"/>
      <c r="FB40" s="4500"/>
      <c r="FC40" s="4500"/>
      <c r="FD40" s="4500"/>
      <c r="FE40" s="4500"/>
      <c r="FF40" s="4500"/>
      <c r="FG40" s="4500"/>
      <c r="FH40" s="4500"/>
      <c r="FI40" s="4500"/>
      <c r="FJ40" s="4500"/>
      <c r="FK40" s="4500"/>
      <c r="FL40" s="4500"/>
      <c r="FM40" s="4500"/>
      <c r="FN40" s="4500"/>
      <c r="FO40" s="4500"/>
      <c r="FP40" s="4500"/>
      <c r="FQ40" s="4500"/>
      <c r="FR40" s="4500"/>
      <c r="FS40" s="4500"/>
      <c r="FT40" s="4500"/>
      <c r="FU40" s="4500"/>
      <c r="FV40" s="4500"/>
      <c r="FW40" s="4500"/>
      <c r="FX40" s="4500"/>
      <c r="FY40" s="4500"/>
      <c r="FZ40" s="48"/>
      <c r="GA40" s="4500"/>
      <c r="GS40" s="4500"/>
    </row>
    <row r="41" spans="156:201" customFormat="1" ht="12.75" customHeight="1">
      <c r="EZ41" s="4500"/>
      <c r="FA41" s="4500"/>
      <c r="FB41" s="4500"/>
      <c r="FC41" s="4500"/>
      <c r="FD41" s="4500"/>
      <c r="FE41" s="4500"/>
      <c r="FF41" s="4500"/>
      <c r="FG41" s="4500"/>
      <c r="FH41" s="4500"/>
      <c r="FI41" s="4500"/>
      <c r="FJ41" s="4500"/>
      <c r="FK41" s="4500"/>
      <c r="FL41" s="4500"/>
      <c r="FM41" s="4500"/>
      <c r="FN41" s="4500"/>
      <c r="FO41" s="4500"/>
      <c r="FP41" s="4500"/>
      <c r="FQ41" s="4500"/>
      <c r="FR41" s="4500"/>
      <c r="FS41" s="4500"/>
      <c r="FT41" s="4500"/>
      <c r="FU41" s="4500"/>
      <c r="FV41" s="4500"/>
      <c r="FW41" s="4500"/>
      <c r="FX41" s="4500"/>
      <c r="FY41" s="4500"/>
      <c r="FZ41" s="48"/>
      <c r="GA41" s="4500"/>
      <c r="GS41" s="4500"/>
    </row>
    <row r="42" spans="156:201" customFormat="1" ht="12.75" customHeight="1">
      <c r="EZ42" s="4500"/>
      <c r="FA42" s="4500"/>
      <c r="FB42" s="4500"/>
      <c r="FC42" s="4500"/>
      <c r="FD42" s="4500"/>
      <c r="FE42" s="4500"/>
      <c r="FF42" s="4500"/>
      <c r="FG42" s="4500"/>
      <c r="FH42" s="4500"/>
      <c r="FI42" s="4500"/>
      <c r="FJ42" s="4500"/>
      <c r="FK42" s="4500"/>
      <c r="FL42" s="4500"/>
      <c r="FM42" s="4500"/>
      <c r="FN42" s="4500"/>
      <c r="FO42" s="4500"/>
      <c r="FP42" s="4500"/>
      <c r="FQ42" s="4500"/>
      <c r="FR42" s="4500"/>
      <c r="FS42" s="4500"/>
      <c r="FT42" s="4500"/>
      <c r="FU42" s="4500"/>
      <c r="FV42" s="4500"/>
      <c r="FW42" s="4500"/>
      <c r="FX42" s="4500"/>
      <c r="FY42" s="4500"/>
      <c r="FZ42" s="48"/>
      <c r="GA42" s="4500"/>
      <c r="GS42" s="4500"/>
    </row>
    <row r="43" spans="156:201" customFormat="1" ht="12.75" customHeight="1">
      <c r="EZ43" s="4500"/>
      <c r="FA43" s="4500"/>
      <c r="FB43" s="4500"/>
      <c r="FC43" s="4500"/>
      <c r="FD43" s="4500"/>
      <c r="FE43" s="4500"/>
      <c r="FF43" s="4500"/>
      <c r="FG43" s="4500"/>
      <c r="FH43" s="4500"/>
      <c r="FI43" s="4500"/>
      <c r="FJ43" s="4500"/>
      <c r="FK43" s="4500"/>
      <c r="FL43" s="4500"/>
      <c r="FM43" s="4500"/>
      <c r="FN43" s="4500"/>
      <c r="FO43" s="4500"/>
      <c r="FP43" s="4500"/>
      <c r="FQ43" s="4500"/>
      <c r="FR43" s="4500"/>
      <c r="FS43" s="4500"/>
      <c r="FT43" s="4500"/>
      <c r="FU43" s="4500"/>
      <c r="FV43" s="4500"/>
      <c r="FW43" s="4500"/>
      <c r="FX43" s="4500"/>
      <c r="FY43" s="4500"/>
      <c r="FZ43" s="48"/>
      <c r="GA43" s="4500"/>
      <c r="GS43" s="4500"/>
    </row>
    <row r="44" spans="156:201" customFormat="1" ht="12.75" customHeight="1">
      <c r="EZ44" s="4500"/>
      <c r="FA44" s="4500"/>
      <c r="FB44" s="4500"/>
      <c r="FC44" s="4500"/>
      <c r="FD44" s="4500"/>
      <c r="FE44" s="4500"/>
      <c r="FF44" s="4500"/>
      <c r="FG44" s="4500"/>
      <c r="FH44" s="4500"/>
      <c r="FI44" s="4500"/>
      <c r="FJ44" s="4500"/>
      <c r="FK44" s="4500"/>
      <c r="FL44" s="4500"/>
      <c r="FM44" s="4500"/>
      <c r="FN44" s="4500"/>
      <c r="FO44" s="4500"/>
      <c r="FP44" s="4500"/>
      <c r="FQ44" s="4500"/>
      <c r="FR44" s="4500"/>
      <c r="FS44" s="4500"/>
      <c r="FT44" s="4500"/>
      <c r="FU44" s="4500"/>
      <c r="FV44" s="4500"/>
      <c r="FW44" s="4500"/>
      <c r="FX44" s="4500"/>
      <c r="FY44" s="4500"/>
      <c r="FZ44" s="48"/>
      <c r="GA44" s="4500"/>
      <c r="GS44" s="4500"/>
    </row>
    <row r="45" spans="156:201" customFormat="1" ht="12.75" customHeight="1">
      <c r="EZ45" s="4500"/>
      <c r="FA45" s="4500"/>
      <c r="FB45" s="4500"/>
      <c r="FC45" s="4500"/>
      <c r="FD45" s="4500"/>
      <c r="FE45" s="4500"/>
      <c r="FF45" s="4500"/>
      <c r="FG45" s="4500"/>
      <c r="FH45" s="4500"/>
      <c r="FI45" s="4500"/>
      <c r="FJ45" s="4500"/>
      <c r="FK45" s="4500"/>
      <c r="FL45" s="4500"/>
      <c r="FM45" s="4500"/>
      <c r="FN45" s="4500"/>
      <c r="FO45" s="4500"/>
      <c r="FP45" s="4500"/>
      <c r="FQ45" s="4500"/>
      <c r="FR45" s="4500"/>
      <c r="FS45" s="4500"/>
      <c r="FT45" s="4500"/>
      <c r="FU45" s="4500"/>
      <c r="FV45" s="4500"/>
      <c r="FW45" s="4500"/>
      <c r="FX45" s="4500"/>
      <c r="FY45" s="4500"/>
      <c r="FZ45" s="48"/>
      <c r="GA45" s="4500"/>
      <c r="GS45" s="4500"/>
    </row>
    <row r="46" spans="156:201" customFormat="1" ht="12.75" customHeight="1">
      <c r="EZ46" s="4500"/>
      <c r="FA46" s="4500"/>
      <c r="FB46" s="4500"/>
      <c r="FC46" s="4500"/>
      <c r="FD46" s="4500"/>
      <c r="FE46" s="4500"/>
      <c r="FF46" s="4500"/>
      <c r="FG46" s="4500"/>
      <c r="FH46" s="4500"/>
      <c r="FI46" s="4500"/>
      <c r="FJ46" s="4500"/>
      <c r="FK46" s="4500"/>
      <c r="FL46" s="4500"/>
      <c r="FM46" s="4500"/>
      <c r="FN46" s="4500"/>
      <c r="FO46" s="4500"/>
      <c r="FP46" s="4500"/>
      <c r="FQ46" s="4500"/>
      <c r="FR46" s="4500"/>
      <c r="FS46" s="4500"/>
      <c r="FT46" s="4500"/>
      <c r="FU46" s="4500"/>
      <c r="FV46" s="4500"/>
      <c r="FW46" s="4500"/>
      <c r="FX46" s="4500"/>
      <c r="FY46" s="4500"/>
      <c r="FZ46" s="48"/>
      <c r="GA46" s="4500"/>
      <c r="GS46" s="4500"/>
    </row>
    <row r="47" spans="156:201" customFormat="1" ht="12.75" customHeight="1">
      <c r="EZ47" s="4500"/>
      <c r="FA47" s="4500"/>
      <c r="FB47" s="4500"/>
      <c r="FC47" s="4500"/>
      <c r="FD47" s="4500"/>
      <c r="FE47" s="4500"/>
      <c r="FF47" s="4500"/>
      <c r="FG47" s="4500"/>
      <c r="FH47" s="4500"/>
      <c r="FI47" s="4500"/>
      <c r="FJ47" s="4500"/>
      <c r="FK47" s="4500"/>
      <c r="FL47" s="4500"/>
      <c r="FM47" s="4500"/>
      <c r="FN47" s="4500"/>
      <c r="FO47" s="4500"/>
      <c r="FP47" s="4500"/>
      <c r="FQ47" s="4500"/>
      <c r="FR47" s="4500"/>
      <c r="FS47" s="4500"/>
      <c r="FT47" s="4500"/>
      <c r="FU47" s="4500"/>
      <c r="FV47" s="4500"/>
      <c r="FW47" s="4500"/>
      <c r="FX47" s="4500"/>
      <c r="FY47" s="4500"/>
      <c r="FZ47" s="48"/>
      <c r="GA47" s="4500"/>
      <c r="GS47" s="4500"/>
    </row>
    <row r="48" spans="156:201" customFormat="1" ht="12.75" customHeight="1">
      <c r="EZ48" s="4500"/>
      <c r="FA48" s="4500"/>
      <c r="FB48" s="4500"/>
      <c r="FC48" s="4500"/>
      <c r="FD48" s="4500"/>
      <c r="FE48" s="4500"/>
      <c r="FF48" s="4500"/>
      <c r="FG48" s="4500"/>
      <c r="FH48" s="4500"/>
      <c r="FI48" s="4500"/>
      <c r="FJ48" s="4500"/>
      <c r="FK48" s="4500"/>
      <c r="FL48" s="4500"/>
      <c r="FM48" s="4500"/>
      <c r="FN48" s="4500"/>
      <c r="FO48" s="4500"/>
      <c r="FP48" s="4500"/>
      <c r="FQ48" s="4500"/>
      <c r="FR48" s="4500"/>
      <c r="FS48" s="4500"/>
      <c r="FT48" s="4500"/>
      <c r="FU48" s="4500"/>
      <c r="FV48" s="4500"/>
      <c r="FW48" s="4500"/>
      <c r="FX48" s="4500"/>
      <c r="FY48" s="4500"/>
      <c r="FZ48" s="48"/>
      <c r="GA48" s="4500"/>
      <c r="GS48" s="4500"/>
    </row>
    <row r="49" spans="156:201" customFormat="1" ht="12.75" customHeight="1">
      <c r="EZ49" s="4500"/>
      <c r="FA49" s="4500"/>
      <c r="FB49" s="4500"/>
      <c r="FC49" s="4500"/>
      <c r="FD49" s="4500"/>
      <c r="FE49" s="4500"/>
      <c r="FF49" s="4500"/>
      <c r="FG49" s="4500"/>
      <c r="FH49" s="4500"/>
      <c r="FI49" s="4500"/>
      <c r="FJ49" s="4500"/>
      <c r="FK49" s="4500"/>
      <c r="FL49" s="4500"/>
      <c r="FM49" s="4500"/>
      <c r="FN49" s="4500"/>
      <c r="FO49" s="4500"/>
      <c r="FP49" s="4500"/>
      <c r="FQ49" s="4500"/>
      <c r="FR49" s="4500"/>
      <c r="FS49" s="4500"/>
      <c r="FT49" s="4500"/>
      <c r="FU49" s="4500"/>
      <c r="FV49" s="4500"/>
      <c r="FW49" s="4500"/>
      <c r="FX49" s="4500"/>
      <c r="FY49" s="4500"/>
      <c r="FZ49" s="48"/>
      <c r="GA49" s="4500"/>
      <c r="GS49" s="4500"/>
    </row>
    <row r="50" spans="156:201" customFormat="1" ht="12.75" customHeight="1">
      <c r="EZ50" s="4500"/>
      <c r="FA50" s="4500"/>
      <c r="FB50" s="4500"/>
      <c r="FC50" s="4500"/>
      <c r="FD50" s="4500"/>
      <c r="FE50" s="4500"/>
      <c r="FF50" s="4500"/>
      <c r="FG50" s="4500"/>
      <c r="FH50" s="4500"/>
      <c r="FI50" s="4500"/>
      <c r="FJ50" s="4500"/>
      <c r="FK50" s="4500"/>
      <c r="FL50" s="4500"/>
      <c r="FM50" s="4500"/>
      <c r="FN50" s="4500"/>
      <c r="FO50" s="4500"/>
      <c r="FP50" s="4500"/>
      <c r="FQ50" s="4500"/>
      <c r="FR50" s="4500"/>
      <c r="FS50" s="4500"/>
      <c r="FT50" s="4500"/>
      <c r="FU50" s="4500"/>
      <c r="FV50" s="4500"/>
      <c r="FW50" s="4500"/>
      <c r="FX50" s="4500"/>
      <c r="FY50" s="4500"/>
      <c r="FZ50" s="48"/>
      <c r="GA50" s="4500"/>
      <c r="GS50" s="4500"/>
    </row>
    <row r="51" spans="156:201" customFormat="1" ht="12.75" customHeight="1">
      <c r="EZ51" s="4500"/>
      <c r="FA51" s="4500"/>
      <c r="FB51" s="4500"/>
      <c r="FC51" s="4500"/>
      <c r="FD51" s="4500"/>
      <c r="FE51" s="4500"/>
      <c r="FF51" s="4500"/>
      <c r="FG51" s="4500"/>
      <c r="FH51" s="4500"/>
      <c r="FI51" s="4500"/>
      <c r="FJ51" s="4500"/>
      <c r="FK51" s="4500"/>
      <c r="FL51" s="4500"/>
      <c r="FM51" s="4500"/>
      <c r="FN51" s="4500"/>
      <c r="FO51" s="4500"/>
      <c r="FP51" s="4500"/>
      <c r="FQ51" s="4500"/>
      <c r="FR51" s="4500"/>
      <c r="FS51" s="4500"/>
      <c r="FT51" s="4500"/>
      <c r="FU51" s="4500"/>
      <c r="FV51" s="4500"/>
      <c r="FW51" s="4500"/>
      <c r="FX51" s="4500"/>
      <c r="FY51" s="4500"/>
      <c r="FZ51" s="48"/>
      <c r="GA51" s="4500"/>
      <c r="GS51" s="4500"/>
    </row>
    <row r="52" spans="156:201" customFormat="1" ht="12.75" customHeight="1">
      <c r="EZ52" s="4500"/>
      <c r="FA52" s="4500"/>
      <c r="FB52" s="4500"/>
      <c r="FC52" s="4500"/>
      <c r="FD52" s="4500"/>
      <c r="FE52" s="4500"/>
      <c r="FF52" s="4500"/>
      <c r="FG52" s="4500"/>
      <c r="FH52" s="4500"/>
      <c r="FI52" s="4500"/>
      <c r="FJ52" s="4500"/>
      <c r="FK52" s="4500"/>
      <c r="FL52" s="4500"/>
      <c r="FM52" s="4500"/>
      <c r="FN52" s="4500"/>
      <c r="FO52" s="4500"/>
      <c r="FP52" s="4500"/>
      <c r="FQ52" s="4500"/>
      <c r="FR52" s="4500"/>
      <c r="FS52" s="4500"/>
      <c r="FT52" s="4500"/>
      <c r="FU52" s="4500"/>
      <c r="FV52" s="4500"/>
      <c r="FW52" s="4500"/>
      <c r="FX52" s="4500"/>
      <c r="FY52" s="4500"/>
      <c r="FZ52" s="48"/>
      <c r="GA52" s="4500"/>
      <c r="GS52" s="4500"/>
    </row>
    <row r="53" spans="156:201" customFormat="1" ht="12.75" customHeight="1">
      <c r="EZ53" s="4500"/>
      <c r="FA53" s="4500"/>
      <c r="FB53" s="4500"/>
      <c r="FC53" s="4500"/>
      <c r="FD53" s="4500"/>
      <c r="FE53" s="4500"/>
      <c r="FF53" s="4500"/>
      <c r="FG53" s="4500"/>
      <c r="FH53" s="4500"/>
      <c r="FI53" s="4500"/>
      <c r="FJ53" s="4500"/>
      <c r="FK53" s="4500"/>
      <c r="FL53" s="4500"/>
      <c r="FM53" s="4500"/>
      <c r="FN53" s="4500"/>
      <c r="FO53" s="4500"/>
      <c r="FP53" s="4500"/>
      <c r="FQ53" s="4500"/>
      <c r="FR53" s="4500"/>
      <c r="FS53" s="4500"/>
      <c r="FT53" s="4500"/>
      <c r="FU53" s="4500"/>
      <c r="FV53" s="4500"/>
      <c r="FW53" s="4500"/>
      <c r="FX53" s="4500"/>
      <c r="FY53" s="4500"/>
      <c r="FZ53" s="48"/>
      <c r="GA53" s="4500"/>
      <c r="GS53" s="4500"/>
    </row>
    <row r="54" spans="156:201" customFormat="1" ht="12.75" customHeight="1">
      <c r="EZ54" s="4500"/>
      <c r="FA54" s="4500"/>
      <c r="FB54" s="4500"/>
      <c r="FC54" s="4500"/>
      <c r="FD54" s="4500"/>
      <c r="FE54" s="4500"/>
      <c r="FF54" s="4500"/>
      <c r="FG54" s="4500"/>
      <c r="FH54" s="4500"/>
      <c r="FI54" s="4500"/>
      <c r="FJ54" s="4500"/>
      <c r="FK54" s="4500"/>
      <c r="FL54" s="4500"/>
      <c r="FM54" s="4500"/>
      <c r="FN54" s="4500"/>
      <c r="FO54" s="4500"/>
      <c r="FP54" s="4500"/>
      <c r="FQ54" s="4500"/>
      <c r="FR54" s="4500"/>
      <c r="FS54" s="4500"/>
      <c r="FT54" s="4500"/>
      <c r="FU54" s="4500"/>
      <c r="FV54" s="4500"/>
      <c r="FW54" s="4500"/>
      <c r="FX54" s="4500"/>
      <c r="FY54" s="4500"/>
      <c r="FZ54" s="48"/>
      <c r="GA54" s="4500"/>
      <c r="GS54" s="4500"/>
    </row>
    <row r="55" spans="156:201" customFormat="1" ht="12.75" customHeight="1">
      <c r="EZ55" s="4500"/>
      <c r="FA55" s="4500"/>
      <c r="FB55" s="4500"/>
      <c r="FC55" s="4500"/>
      <c r="FD55" s="4500"/>
      <c r="FE55" s="4500"/>
      <c r="FF55" s="4500"/>
      <c r="FG55" s="4500"/>
      <c r="FH55" s="4500"/>
      <c r="FI55" s="4500"/>
      <c r="FJ55" s="4500"/>
      <c r="FK55" s="4500"/>
      <c r="FL55" s="4500"/>
      <c r="FM55" s="4500"/>
      <c r="FN55" s="4500"/>
      <c r="FO55" s="4500"/>
      <c r="FP55" s="4500"/>
      <c r="FQ55" s="4500"/>
      <c r="FR55" s="4500"/>
      <c r="FS55" s="4500"/>
      <c r="FT55" s="4500"/>
      <c r="FU55" s="4500"/>
      <c r="FV55" s="4500"/>
      <c r="FW55" s="4500"/>
      <c r="FX55" s="4500"/>
      <c r="FY55" s="4500"/>
      <c r="FZ55" s="48"/>
      <c r="GA55" s="4500"/>
      <c r="GS55" s="4500"/>
    </row>
    <row r="56" spans="156:201" customFormat="1" ht="12.75" customHeight="1">
      <c r="EZ56" s="4500"/>
      <c r="FA56" s="4500"/>
      <c r="FB56" s="4500"/>
      <c r="FC56" s="4500"/>
      <c r="FD56" s="4500"/>
      <c r="FE56" s="4500"/>
      <c r="FF56" s="4500"/>
      <c r="FG56" s="4500"/>
      <c r="FH56" s="4500"/>
      <c r="FI56" s="4500"/>
      <c r="FJ56" s="4500"/>
      <c r="FK56" s="4500"/>
      <c r="FL56" s="4500"/>
      <c r="FM56" s="4500"/>
      <c r="FN56" s="4500"/>
      <c r="FO56" s="4500"/>
      <c r="FP56" s="4500"/>
      <c r="FQ56" s="4500"/>
      <c r="FR56" s="4500"/>
      <c r="FS56" s="4500"/>
      <c r="FT56" s="4500"/>
      <c r="FU56" s="4500"/>
      <c r="FV56" s="4500"/>
      <c r="FW56" s="4500"/>
      <c r="FX56" s="4500"/>
      <c r="FY56" s="4500"/>
      <c r="FZ56" s="48"/>
      <c r="GA56" s="4500"/>
      <c r="GS56" s="4500"/>
    </row>
    <row r="57" spans="156:201" customFormat="1" ht="12.75" customHeight="1">
      <c r="EZ57" s="4500"/>
      <c r="FA57" s="4500"/>
      <c r="FB57" s="4500"/>
      <c r="FC57" s="4500"/>
      <c r="FD57" s="4500"/>
      <c r="FE57" s="4500"/>
      <c r="FF57" s="4500"/>
      <c r="FG57" s="4500"/>
      <c r="FH57" s="4500"/>
      <c r="FI57" s="4500"/>
      <c r="FJ57" s="4500"/>
      <c r="FK57" s="4500"/>
      <c r="FL57" s="4500"/>
      <c r="FM57" s="4500"/>
      <c r="FN57" s="4500"/>
      <c r="FO57" s="4500"/>
      <c r="FP57" s="4500"/>
      <c r="FQ57" s="4500"/>
      <c r="FR57" s="4500"/>
      <c r="FS57" s="4500"/>
      <c r="FT57" s="4500"/>
      <c r="FU57" s="4500"/>
      <c r="FV57" s="4500"/>
      <c r="FW57" s="4500"/>
      <c r="FX57" s="4500"/>
      <c r="FY57" s="4500"/>
      <c r="FZ57" s="48"/>
      <c r="GA57" s="4500"/>
      <c r="GS57" s="4500"/>
    </row>
    <row r="58" spans="156:201" customFormat="1" ht="12.75" customHeight="1">
      <c r="EZ58" s="4500"/>
      <c r="FA58" s="4500"/>
      <c r="FB58" s="4500"/>
      <c r="FC58" s="4500"/>
      <c r="FD58" s="4500"/>
      <c r="FE58" s="4500"/>
      <c r="FF58" s="4500"/>
      <c r="FG58" s="4500"/>
      <c r="FH58" s="4500"/>
      <c r="FI58" s="4500"/>
      <c r="FJ58" s="4500"/>
      <c r="FK58" s="4500"/>
      <c r="FL58" s="4500"/>
      <c r="FM58" s="4500"/>
      <c r="FN58" s="4500"/>
      <c r="FO58" s="4500"/>
      <c r="FP58" s="4500"/>
      <c r="FQ58" s="4500"/>
      <c r="FR58" s="4500"/>
      <c r="FS58" s="4500"/>
      <c r="FT58" s="4500"/>
      <c r="FU58" s="4500"/>
      <c r="FV58" s="4500"/>
      <c r="FW58" s="4500"/>
      <c r="FX58" s="4500"/>
      <c r="FY58" s="4500"/>
      <c r="FZ58" s="48"/>
      <c r="GA58" s="4500"/>
      <c r="GS58" s="4500"/>
    </row>
    <row r="59" spans="156:201" customFormat="1" ht="12.75" customHeight="1">
      <c r="EZ59" s="4500"/>
      <c r="FA59" s="4500"/>
      <c r="FB59" s="4500"/>
      <c r="FC59" s="4500"/>
      <c r="FD59" s="4500"/>
      <c r="FE59" s="4500"/>
      <c r="FF59" s="4500"/>
      <c r="FG59" s="4500"/>
      <c r="FH59" s="4500"/>
      <c r="FI59" s="4500"/>
      <c r="FJ59" s="4500"/>
      <c r="FK59" s="4500"/>
      <c r="FL59" s="4500"/>
      <c r="FM59" s="4500"/>
      <c r="FN59" s="4500"/>
      <c r="FO59" s="4500"/>
      <c r="FP59" s="4500"/>
      <c r="FQ59" s="4500"/>
      <c r="FR59" s="4500"/>
      <c r="FS59" s="4500"/>
      <c r="FT59" s="4500"/>
      <c r="FU59" s="4500"/>
      <c r="FV59" s="4500"/>
      <c r="FW59" s="4500"/>
      <c r="FX59" s="4500"/>
      <c r="FY59" s="4500"/>
      <c r="FZ59" s="48"/>
      <c r="GA59" s="4500"/>
      <c r="GS59" s="4500"/>
    </row>
    <row r="60" spans="156:201" customFormat="1" ht="12.75" customHeight="1">
      <c r="EZ60" s="4500"/>
      <c r="FA60" s="4500"/>
      <c r="FB60" s="4500"/>
      <c r="FC60" s="4500"/>
      <c r="FD60" s="4500"/>
      <c r="FE60" s="4500"/>
      <c r="FF60" s="4500"/>
      <c r="FG60" s="4500"/>
      <c r="FH60" s="4500"/>
      <c r="FI60" s="4500"/>
      <c r="FJ60" s="4500"/>
      <c r="FK60" s="4500"/>
      <c r="FL60" s="4500"/>
      <c r="FM60" s="4500"/>
      <c r="FN60" s="4500"/>
      <c r="FO60" s="4500"/>
      <c r="FP60" s="4500"/>
      <c r="FQ60" s="4500"/>
      <c r="FR60" s="4500"/>
      <c r="FS60" s="4500"/>
      <c r="FT60" s="4500"/>
      <c r="FU60" s="4500"/>
      <c r="FV60" s="4500"/>
      <c r="FW60" s="4500"/>
      <c r="FX60" s="4500"/>
      <c r="FY60" s="4500"/>
      <c r="FZ60" s="48"/>
      <c r="GA60" s="4500"/>
      <c r="GS60" s="4500"/>
    </row>
    <row r="61" spans="156:201" customFormat="1" ht="12.75" customHeight="1">
      <c r="EZ61" s="4500"/>
      <c r="FA61" s="4500"/>
      <c r="FB61" s="4500"/>
      <c r="FC61" s="4500"/>
      <c r="FD61" s="4500"/>
      <c r="FE61" s="4500"/>
      <c r="FF61" s="4500"/>
      <c r="FG61" s="4500"/>
      <c r="FH61" s="4500"/>
      <c r="FI61" s="4500"/>
      <c r="FJ61" s="4500"/>
      <c r="FK61" s="4500"/>
      <c r="FL61" s="4500"/>
      <c r="FM61" s="4500"/>
      <c r="FN61" s="4500"/>
      <c r="FO61" s="4500"/>
      <c r="FP61" s="4500"/>
      <c r="FQ61" s="4500"/>
      <c r="FR61" s="4500"/>
      <c r="FS61" s="4500"/>
      <c r="FT61" s="4500"/>
      <c r="FU61" s="4500"/>
      <c r="FV61" s="4500"/>
      <c r="FW61" s="4500"/>
      <c r="FX61" s="4500"/>
      <c r="FY61" s="4500"/>
      <c r="FZ61" s="48"/>
      <c r="GA61" s="4500"/>
      <c r="GS61" s="4500"/>
    </row>
    <row r="62" spans="156:201" customFormat="1" ht="12.75" customHeight="1">
      <c r="EZ62" s="4500"/>
      <c r="FA62" s="4500"/>
      <c r="FB62" s="4500"/>
      <c r="FC62" s="4500"/>
      <c r="FD62" s="4500"/>
      <c r="FE62" s="4500"/>
      <c r="FF62" s="4500"/>
      <c r="FG62" s="4500"/>
      <c r="FH62" s="4500"/>
      <c r="FI62" s="4500"/>
      <c r="FJ62" s="4500"/>
      <c r="FK62" s="4500"/>
      <c r="FL62" s="4500"/>
      <c r="FM62" s="4500"/>
      <c r="FN62" s="4500"/>
      <c r="FO62" s="4500"/>
      <c r="FP62" s="4500"/>
      <c r="FQ62" s="4500"/>
      <c r="FR62" s="4500"/>
      <c r="FS62" s="4500"/>
      <c r="FT62" s="4500"/>
      <c r="FU62" s="4500"/>
      <c r="FV62" s="4500"/>
      <c r="FW62" s="4500"/>
      <c r="FX62" s="4500"/>
      <c r="FY62" s="4500"/>
      <c r="FZ62" s="48"/>
      <c r="GA62" s="4500"/>
      <c r="GS62" s="4500"/>
    </row>
    <row r="63" spans="156:201" customFormat="1" ht="12.75" customHeight="1">
      <c r="EZ63" s="4500"/>
      <c r="FA63" s="4500"/>
      <c r="FB63" s="4500"/>
      <c r="FC63" s="4500"/>
      <c r="FD63" s="4500"/>
      <c r="FE63" s="4500"/>
      <c r="FF63" s="4500"/>
      <c r="FG63" s="4500"/>
      <c r="FH63" s="4500"/>
      <c r="FI63" s="4500"/>
      <c r="FJ63" s="4500"/>
      <c r="FK63" s="4500"/>
      <c r="FL63" s="4500"/>
      <c r="FM63" s="4500"/>
      <c r="FN63" s="4500"/>
      <c r="FO63" s="4500"/>
      <c r="FP63" s="4500"/>
      <c r="FQ63" s="4500"/>
      <c r="FR63" s="4500"/>
      <c r="FS63" s="4500"/>
      <c r="FT63" s="4500"/>
      <c r="FU63" s="4500"/>
      <c r="FV63" s="4500"/>
      <c r="FW63" s="4500"/>
      <c r="FX63" s="4500"/>
      <c r="FY63" s="4500"/>
      <c r="FZ63" s="48"/>
      <c r="GA63" s="4500"/>
      <c r="GS63" s="4500"/>
    </row>
    <row r="64" spans="156:201" customFormat="1" ht="12.75" customHeight="1">
      <c r="EZ64" s="4500"/>
      <c r="FA64" s="4500"/>
      <c r="FB64" s="4500"/>
      <c r="FC64" s="4500"/>
      <c r="FD64" s="4500"/>
      <c r="FE64" s="4500"/>
      <c r="FF64" s="4500"/>
      <c r="FG64" s="4500"/>
      <c r="FH64" s="4500"/>
      <c r="FI64" s="4500"/>
      <c r="FJ64" s="4500"/>
      <c r="FK64" s="4500"/>
      <c r="FL64" s="4500"/>
      <c r="FM64" s="4500"/>
      <c r="FN64" s="4500"/>
      <c r="FO64" s="4500"/>
      <c r="FP64" s="4500"/>
      <c r="FQ64" s="4500"/>
      <c r="FR64" s="4500"/>
      <c r="FS64" s="4500"/>
      <c r="FT64" s="4500"/>
      <c r="FU64" s="4500"/>
      <c r="FV64" s="4500"/>
      <c r="FW64" s="4500"/>
      <c r="FX64" s="4500"/>
      <c r="FY64" s="4500"/>
      <c r="FZ64" s="48"/>
      <c r="GA64" s="4500"/>
      <c r="GS64" s="4500"/>
    </row>
  </sheetData>
  <mergeCells count="9">
    <mergeCell ref="GC3:GP3"/>
    <mergeCell ref="GP11:GQ11"/>
    <mergeCell ref="FN11:FO11"/>
    <mergeCell ref="FP11:FQ11"/>
    <mergeCell ref="FA11:FB11"/>
    <mergeCell ref="FC11:FD11"/>
    <mergeCell ref="FK11:FL11"/>
    <mergeCell ref="FI11:FJ11"/>
    <mergeCell ref="GC11:GN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T129"/>
  <sheetViews>
    <sheetView showGridLines="0" zoomScale="85" zoomScaleNormal="85" workbookViewId="0">
      <selection activeCell="T16" sqref="T16"/>
    </sheetView>
  </sheetViews>
  <sheetFormatPr baseColWidth="10" defaultColWidth="11.44140625" defaultRowHeight="14.4" zeroHeight="1"/>
  <cols>
    <col min="1" max="1" width="2.6640625" style="681" customWidth="1"/>
    <col min="2" max="2" width="17.88671875" style="681" customWidth="1"/>
    <col min="3" max="3" width="1.77734375" style="681" customWidth="1"/>
    <col min="4" max="12" width="9.6640625" style="681" customWidth="1"/>
    <col min="13" max="13" width="9.88671875" style="681" bestFit="1" customWidth="1"/>
    <col min="14" max="14" width="9" style="681" bestFit="1" customWidth="1"/>
    <col min="15" max="15" width="12.5546875" style="681" customWidth="1"/>
    <col min="16" max="16" width="11.44140625" style="681" customWidth="1"/>
    <col min="17" max="19" width="10" style="681" bestFit="1" customWidth="1"/>
    <col min="20" max="20" width="19.109375" style="681" customWidth="1"/>
    <col min="21" max="25" width="8.6640625" style="681" customWidth="1"/>
    <col min="26" max="27" width="11.44140625" style="681" customWidth="1"/>
    <col min="28" max="34" width="8.6640625" style="681" customWidth="1"/>
    <col min="35" max="38" width="11.44140625" style="681" customWidth="1"/>
    <col min="39" max="16384" width="11.44140625" style="681"/>
  </cols>
  <sheetData>
    <row r="1" spans="1:20" s="254" customFormat="1" ht="9" customHeight="1">
      <c r="A1" s="1382"/>
      <c r="B1" s="1382"/>
      <c r="C1" s="1383"/>
      <c r="D1" s="1384"/>
      <c r="E1" s="1384"/>
      <c r="F1" s="1384"/>
      <c r="G1" s="1384"/>
      <c r="H1" s="1384"/>
      <c r="I1" s="1384"/>
      <c r="J1" s="1384"/>
      <c r="K1" s="1384"/>
      <c r="L1" s="1384"/>
      <c r="M1" s="1382"/>
      <c r="N1" s="1384"/>
    </row>
    <row r="2" spans="1:20" s="254" customFormat="1" ht="24" thickBot="1">
      <c r="A2" s="1382"/>
      <c r="B2" s="1385" t="s">
        <v>591</v>
      </c>
      <c r="C2" s="1386"/>
      <c r="D2" s="1387"/>
      <c r="F2" s="1382"/>
      <c r="M2" s="1388"/>
      <c r="O2" s="976"/>
    </row>
    <row r="3" spans="1:20" s="254" customFormat="1" ht="15" thickBot="1">
      <c r="A3" s="1382"/>
      <c r="B3" s="1389" t="s">
        <v>200</v>
      </c>
      <c r="C3" s="1390"/>
      <c r="D3" s="1391" t="s">
        <v>147</v>
      </c>
      <c r="E3" s="1392"/>
      <c r="F3" s="1393"/>
      <c r="G3" s="1392"/>
      <c r="H3" s="1392" t="s">
        <v>446</v>
      </c>
      <c r="I3" s="1392"/>
      <c r="J3" s="1392"/>
      <c r="K3" s="1394"/>
      <c r="L3" s="1394"/>
      <c r="M3" s="1393"/>
      <c r="N3" s="1393"/>
      <c r="O3" s="1393"/>
      <c r="P3" s="1393"/>
      <c r="Q3" s="1393"/>
      <c r="R3" s="1393"/>
      <c r="S3" s="1393"/>
      <c r="T3" s="1393"/>
    </row>
    <row r="4" spans="1:20">
      <c r="A4" s="154"/>
      <c r="B4" s="1395"/>
      <c r="C4" s="1396"/>
      <c r="D4" s="1397">
        <v>2006</v>
      </c>
      <c r="E4" s="1398">
        <v>2007</v>
      </c>
      <c r="F4" s="1398">
        <v>2008</v>
      </c>
      <c r="G4" s="1398">
        <v>2009</v>
      </c>
      <c r="H4" s="1398">
        <v>2010</v>
      </c>
      <c r="I4" s="1398">
        <v>2011</v>
      </c>
      <c r="J4" s="1398">
        <v>2012</v>
      </c>
      <c r="K4" s="1398">
        <v>2013</v>
      </c>
      <c r="L4" s="1398">
        <v>2014</v>
      </c>
      <c r="M4" s="1398">
        <v>2015</v>
      </c>
      <c r="N4" s="1398">
        <v>2016</v>
      </c>
      <c r="O4" s="1399" t="s">
        <v>578</v>
      </c>
      <c r="P4" s="1400" t="s">
        <v>813</v>
      </c>
      <c r="Q4" s="1398">
        <v>2019</v>
      </c>
      <c r="R4" s="3707">
        <v>2020</v>
      </c>
      <c r="S4" s="3730" t="s">
        <v>1419</v>
      </c>
      <c r="T4" s="3730" t="s">
        <v>1588</v>
      </c>
    </row>
    <row r="5" spans="1:20">
      <c r="A5" s="154"/>
      <c r="B5" s="1401"/>
      <c r="C5" s="1396" t="s">
        <v>148</v>
      </c>
      <c r="D5" s="1402" t="s">
        <v>149</v>
      </c>
      <c r="E5" s="1403" t="s">
        <v>48</v>
      </c>
      <c r="F5" s="1403" t="s">
        <v>48</v>
      </c>
      <c r="G5" s="1403" t="s">
        <v>48</v>
      </c>
      <c r="H5" s="1403" t="s">
        <v>48</v>
      </c>
      <c r="I5" s="1403" t="s">
        <v>48</v>
      </c>
      <c r="J5" s="1403" t="s">
        <v>150</v>
      </c>
      <c r="K5" s="1403" t="s">
        <v>150</v>
      </c>
      <c r="L5" s="1403" t="s">
        <v>48</v>
      </c>
      <c r="M5" s="1403" t="s">
        <v>48</v>
      </c>
      <c r="N5" s="1403" t="s">
        <v>48</v>
      </c>
      <c r="O5" s="1404" t="s">
        <v>576</v>
      </c>
      <c r="P5" s="1405" t="s">
        <v>576</v>
      </c>
      <c r="Q5" s="1403"/>
      <c r="R5" s="3708"/>
      <c r="S5" s="3731"/>
      <c r="T5" s="3731"/>
    </row>
    <row r="6" spans="1:20" hidden="1">
      <c r="A6" s="154"/>
      <c r="B6" s="1406" t="s">
        <v>144</v>
      </c>
      <c r="C6" s="1396"/>
      <c r="D6" s="1402">
        <v>1.5773254270289405</v>
      </c>
      <c r="E6" s="1407">
        <v>1.5744474859930453</v>
      </c>
      <c r="F6" s="1407">
        <v>1.5638712683756273</v>
      </c>
      <c r="G6" s="1407">
        <v>1.5667115293310827</v>
      </c>
      <c r="H6" s="1407">
        <v>1.5593222696817688</v>
      </c>
      <c r="I6" s="1407">
        <v>1.7252903768186687</v>
      </c>
      <c r="J6" s="1407">
        <v>1.6675865896511384</v>
      </c>
      <c r="K6" s="1407">
        <v>1.7278327203378285</v>
      </c>
      <c r="L6" s="1407"/>
      <c r="M6" s="1407"/>
      <c r="N6" s="1407"/>
      <c r="O6" s="1408"/>
      <c r="P6" s="1409"/>
      <c r="Q6" s="1407"/>
      <c r="R6" s="3709"/>
      <c r="S6" s="3732"/>
      <c r="T6" s="3732"/>
    </row>
    <row r="7" spans="1:20" hidden="1">
      <c r="A7" s="154"/>
      <c r="B7" s="1406" t="s">
        <v>145</v>
      </c>
      <c r="C7" s="1396"/>
      <c r="D7" s="1402">
        <v>1.6286832190126559</v>
      </c>
      <c r="E7" s="1407">
        <v>1.5154382146546497</v>
      </c>
      <c r="F7" s="1407">
        <v>1.5143356241091426</v>
      </c>
      <c r="G7" s="1407">
        <v>1.423619021477498</v>
      </c>
      <c r="H7" s="1407">
        <v>1.4526986735145564</v>
      </c>
      <c r="I7" s="1407">
        <v>1.4295638733909997</v>
      </c>
      <c r="J7" s="1407">
        <v>1.4642313455106659</v>
      </c>
      <c r="K7" s="1407">
        <v>1.5349434855567554</v>
      </c>
      <c r="L7" s="1407"/>
      <c r="M7" s="1407"/>
      <c r="N7" s="1407"/>
      <c r="O7" s="1408"/>
      <c r="P7" s="1409"/>
      <c r="Q7" s="1407"/>
      <c r="R7" s="3709"/>
      <c r="S7" s="3732"/>
      <c r="T7" s="3732"/>
    </row>
    <row r="8" spans="1:20" hidden="1">
      <c r="A8" s="154"/>
      <c r="B8" s="1406" t="s">
        <v>146</v>
      </c>
      <c r="C8" s="1396"/>
      <c r="D8" s="1402">
        <v>1.4668541543319518</v>
      </c>
      <c r="E8" s="1407">
        <v>1.3812645607055933</v>
      </c>
      <c r="F8" s="1407">
        <v>1.2607456278549865</v>
      </c>
      <c r="G8" s="1407">
        <v>1.1821936578764178</v>
      </c>
      <c r="H8" s="1407">
        <v>1.1900794709679083</v>
      </c>
      <c r="I8" s="1407">
        <v>1.243522881891137</v>
      </c>
      <c r="J8" s="1407">
        <v>1.3230585013979768</v>
      </c>
      <c r="K8" s="1407">
        <v>1.2704909357618104</v>
      </c>
      <c r="L8" s="1407"/>
      <c r="M8" s="1407"/>
      <c r="N8" s="1407"/>
      <c r="O8" s="1408"/>
      <c r="P8" s="1409"/>
      <c r="Q8" s="1407"/>
      <c r="R8" s="3709"/>
      <c r="S8" s="3732"/>
      <c r="T8" s="3732"/>
    </row>
    <row r="9" spans="1:20" hidden="1">
      <c r="A9" s="154"/>
      <c r="B9" s="1406" t="s">
        <v>201</v>
      </c>
      <c r="C9" s="1396"/>
      <c r="D9" s="1402">
        <v>1.5409268849373241</v>
      </c>
      <c r="E9" s="1407">
        <v>1.4617126346292795</v>
      </c>
      <c r="F9" s="1407">
        <v>1.3932879137938887</v>
      </c>
      <c r="G9" s="1407">
        <v>1.3178936724746533</v>
      </c>
      <c r="H9" s="1407">
        <v>1.3443240408286679</v>
      </c>
      <c r="I9" s="1407">
        <v>1.394757606030772</v>
      </c>
      <c r="J9" s="1407">
        <v>1.4350198458362768</v>
      </c>
      <c r="K9" s="1407">
        <v>1.4604597497153886</v>
      </c>
      <c r="L9" s="1407"/>
      <c r="M9" s="1407"/>
      <c r="N9" s="1407"/>
      <c r="O9" s="1408"/>
      <c r="P9" s="1409"/>
      <c r="Q9" s="1407"/>
      <c r="R9" s="3709"/>
      <c r="S9" s="3732"/>
      <c r="T9" s="3732"/>
    </row>
    <row r="10" spans="1:20" hidden="1">
      <c r="A10" s="154"/>
      <c r="B10" s="1410"/>
      <c r="C10" s="1396"/>
      <c r="D10" s="1411" t="str">
        <f>+D3</f>
        <v>Acumulados</v>
      </c>
      <c r="E10" s="1412"/>
      <c r="F10" s="1412"/>
      <c r="G10" s="1413"/>
      <c r="H10" s="1413" t="e">
        <f>+#REF!</f>
        <v>#REF!</v>
      </c>
      <c r="I10" s="1413"/>
      <c r="J10" s="1412"/>
      <c r="K10" s="1412"/>
      <c r="L10" s="1412"/>
      <c r="M10" s="1412"/>
      <c r="N10" s="1412"/>
      <c r="O10" s="1414"/>
      <c r="P10" s="1415"/>
      <c r="Q10" s="1412"/>
      <c r="R10" s="3710"/>
      <c r="S10" s="3733"/>
      <c r="T10" s="3733"/>
    </row>
    <row r="11" spans="1:20" hidden="1">
      <c r="A11" s="154"/>
      <c r="B11" s="1406" t="s">
        <v>144</v>
      </c>
      <c r="C11" s="1396"/>
      <c r="D11" s="1402">
        <v>1.628004460771451</v>
      </c>
      <c r="E11" s="1407">
        <v>1.7564460798985078</v>
      </c>
      <c r="F11" s="1407">
        <v>1.7093992298153993</v>
      </c>
      <c r="G11" s="1407">
        <v>1.7241935891355069</v>
      </c>
      <c r="H11" s="1407">
        <v>1.565574492719926</v>
      </c>
      <c r="I11" s="1407">
        <v>1.6422423769311509</v>
      </c>
      <c r="J11" s="1407">
        <v>1.695549697068228</v>
      </c>
      <c r="K11" s="1407">
        <v>1.6354209069655508</v>
      </c>
      <c r="L11" s="1407"/>
      <c r="M11" s="1407"/>
      <c r="N11" s="1407"/>
      <c r="O11" s="1408"/>
      <c r="P11" s="1409"/>
      <c r="Q11" s="1407"/>
      <c r="R11" s="3709"/>
      <c r="S11" s="3732"/>
      <c r="T11" s="3732"/>
    </row>
    <row r="12" spans="1:20" hidden="1">
      <c r="A12" s="154"/>
      <c r="B12" s="1406" t="s">
        <v>145</v>
      </c>
      <c r="C12" s="1396"/>
      <c r="D12" s="1402">
        <v>1.8911087045819486</v>
      </c>
      <c r="E12" s="1407">
        <v>1.7569338169784909</v>
      </c>
      <c r="F12" s="1407">
        <v>1.6253246251800582</v>
      </c>
      <c r="G12" s="1407">
        <v>1.5711965008474662</v>
      </c>
      <c r="H12" s="1407">
        <v>1.6061264660180792</v>
      </c>
      <c r="I12" s="1407">
        <v>1.5185617110340779</v>
      </c>
      <c r="J12" s="1407">
        <v>1.6628823636102446</v>
      </c>
      <c r="K12" s="1407">
        <v>1.5670499511603626</v>
      </c>
      <c r="L12" s="1407"/>
      <c r="M12" s="1407"/>
      <c r="N12" s="1407"/>
      <c r="O12" s="1408"/>
      <c r="P12" s="1409"/>
      <c r="Q12" s="1407"/>
      <c r="R12" s="3709"/>
      <c r="S12" s="3732"/>
      <c r="T12" s="3732"/>
    </row>
    <row r="13" spans="1:20" hidden="1">
      <c r="A13" s="154"/>
      <c r="B13" s="1406" t="s">
        <v>146</v>
      </c>
      <c r="C13" s="1396"/>
      <c r="D13" s="1402">
        <v>1.8188196255036739</v>
      </c>
      <c r="E13" s="1407">
        <v>1.6795107451045472</v>
      </c>
      <c r="F13" s="1407">
        <v>1.5372237999102731</v>
      </c>
      <c r="G13" s="1407">
        <v>1.3882129644268775</v>
      </c>
      <c r="H13" s="1407">
        <v>1.4737543725396276</v>
      </c>
      <c r="I13" s="1407">
        <v>1.4115962403598976</v>
      </c>
      <c r="J13" s="1407">
        <v>1.6117884293887921</v>
      </c>
      <c r="K13" s="1407">
        <v>1.6565251591289776</v>
      </c>
      <c r="L13" s="1407"/>
      <c r="M13" s="1407"/>
      <c r="N13" s="1407"/>
      <c r="O13" s="1408"/>
      <c r="P13" s="1409"/>
      <c r="Q13" s="1407"/>
      <c r="R13" s="3709"/>
      <c r="S13" s="3732"/>
      <c r="T13" s="3732"/>
    </row>
    <row r="14" spans="1:20" hidden="1">
      <c r="A14" s="154"/>
      <c r="B14" s="1406" t="s">
        <v>202</v>
      </c>
      <c r="C14" s="1396"/>
      <c r="D14" s="1402">
        <v>1.7172183989556304</v>
      </c>
      <c r="E14" s="1407">
        <v>1.7428810421277843</v>
      </c>
      <c r="F14" s="1407">
        <v>1.6515026830057939</v>
      </c>
      <c r="G14" s="1407">
        <v>1.6129445606483677</v>
      </c>
      <c r="H14" s="1407">
        <v>1.5605793439376641</v>
      </c>
      <c r="I14" s="1407">
        <v>1.558551096901361</v>
      </c>
      <c r="J14" s="1407">
        <v>1.6626710085689735</v>
      </c>
      <c r="K14" s="1407">
        <v>1.6166073661899483</v>
      </c>
      <c r="L14" s="1407"/>
      <c r="M14" s="1407"/>
      <c r="N14" s="1407"/>
      <c r="O14" s="1408"/>
      <c r="P14" s="1409"/>
      <c r="Q14" s="1407"/>
      <c r="R14" s="3709"/>
      <c r="S14" s="3732"/>
      <c r="T14" s="3732"/>
    </row>
    <row r="15" spans="1:20" ht="21" thickBot="1">
      <c r="A15" s="154"/>
      <c r="B15" s="1410"/>
      <c r="C15" s="1396"/>
      <c r="D15" s="1416" t="str">
        <f>+D3</f>
        <v>Acumulados</v>
      </c>
      <c r="E15" s="1412"/>
      <c r="F15" s="1412"/>
      <c r="G15" s="1413"/>
      <c r="H15" s="1417"/>
      <c r="I15" s="1413"/>
      <c r="J15" s="1412"/>
      <c r="K15" s="1412"/>
      <c r="L15" s="568" t="s">
        <v>319</v>
      </c>
      <c r="M15" s="568" t="s">
        <v>510</v>
      </c>
      <c r="N15" s="568" t="s">
        <v>581</v>
      </c>
      <c r="O15" s="604" t="s">
        <v>727</v>
      </c>
      <c r="P15" s="996" t="s">
        <v>1068</v>
      </c>
      <c r="Q15" s="568" t="s">
        <v>1578</v>
      </c>
      <c r="R15" s="3711" t="s">
        <v>1578</v>
      </c>
      <c r="S15" s="3711" t="s">
        <v>1871</v>
      </c>
      <c r="T15" s="4883" t="s">
        <v>1962</v>
      </c>
    </row>
    <row r="16" spans="1:20">
      <c r="A16" s="154"/>
      <c r="B16" s="3714" t="s">
        <v>1072</v>
      </c>
      <c r="C16" s="3715"/>
      <c r="D16" s="3716">
        <v>1.6142885859784815</v>
      </c>
      <c r="E16" s="3717">
        <v>1.7136095877827038</v>
      </c>
      <c r="F16" s="3717">
        <v>1.6673945049193584</v>
      </c>
      <c r="G16" s="3717">
        <v>1.6938734323633624</v>
      </c>
      <c r="H16" s="3717">
        <v>1.5639288708845749</v>
      </c>
      <c r="I16" s="3717">
        <v>1.687697939476452</v>
      </c>
      <c r="J16" s="3717">
        <v>1.6588613898438787</v>
      </c>
      <c r="K16" s="3717">
        <v>1.7722587868094171</v>
      </c>
      <c r="L16" s="3717">
        <v>1.7163406179145451</v>
      </c>
      <c r="M16" s="3717">
        <v>1.707987782490568</v>
      </c>
      <c r="N16" s="3717">
        <v>1.672298398929029</v>
      </c>
      <c r="O16" s="3718">
        <v>1.6794015480118631</v>
      </c>
      <c r="P16" s="3719">
        <f>AVERAGE(L16:O16)</f>
        <v>1.6940070868365014</v>
      </c>
      <c r="Q16" s="3720">
        <v>1.73</v>
      </c>
      <c r="R16" s="3721">
        <v>2.06</v>
      </c>
      <c r="S16" s="3734">
        <v>1.03</v>
      </c>
      <c r="T16" s="3734">
        <f>AVERAGE(O16:S16)</f>
        <v>1.6386817269696727</v>
      </c>
    </row>
    <row r="17" spans="1:20">
      <c r="A17" s="154"/>
      <c r="B17" s="1418" t="s">
        <v>1073</v>
      </c>
      <c r="C17" s="1419"/>
      <c r="D17" s="1420">
        <v>1.7501037452017845</v>
      </c>
      <c r="E17" s="1421">
        <v>1.6256989712119139</v>
      </c>
      <c r="F17" s="1421">
        <v>1.5697041078058034</v>
      </c>
      <c r="G17" s="1421">
        <v>1.4953483646547592</v>
      </c>
      <c r="H17" s="1421">
        <v>1.5246979148041686</v>
      </c>
      <c r="I17" s="1421">
        <v>1.4725599355332923</v>
      </c>
      <c r="J17" s="1421">
        <v>1.5583094889639395</v>
      </c>
      <c r="K17" s="1421">
        <v>1.5710912141560645</v>
      </c>
      <c r="L17" s="1421">
        <v>1.5809865305383213</v>
      </c>
      <c r="M17" s="1421">
        <v>1.5535594304643294</v>
      </c>
      <c r="N17" s="1421">
        <v>1.5537887147871752</v>
      </c>
      <c r="O17" s="1422">
        <v>1.5315145834595965</v>
      </c>
      <c r="P17" s="1423">
        <f>AVERAGE(L17:O17)</f>
        <v>1.5549623148123557</v>
      </c>
      <c r="Q17" s="3705">
        <v>1.4</v>
      </c>
      <c r="R17" s="3712">
        <v>1.1000000000000001</v>
      </c>
      <c r="S17" s="3735" t="s">
        <v>1872</v>
      </c>
      <c r="T17" s="3735">
        <f>AVERAGE(O17:S17)</f>
        <v>1.396619224567988</v>
      </c>
    </row>
    <row r="18" spans="1:20" ht="15" thickBot="1">
      <c r="A18" s="154"/>
      <c r="B18" s="3722" t="s">
        <v>1074</v>
      </c>
      <c r="C18" s="3723"/>
      <c r="D18" s="3724">
        <v>1.574186581202536</v>
      </c>
      <c r="E18" s="3725">
        <v>1.4639136084905167</v>
      </c>
      <c r="F18" s="3725">
        <v>1.3386695069976413</v>
      </c>
      <c r="G18" s="3725">
        <v>1.2393112226172907</v>
      </c>
      <c r="H18" s="3725">
        <v>1.2651293331409998</v>
      </c>
      <c r="I18" s="3725">
        <v>1.2902288399147539</v>
      </c>
      <c r="J18" s="3725">
        <v>1.3966473082654167</v>
      </c>
      <c r="K18" s="3725">
        <v>1.4357428321230126</v>
      </c>
      <c r="L18" s="3725">
        <v>1.5242255498597903</v>
      </c>
      <c r="M18" s="3725">
        <v>1.4809016616053134</v>
      </c>
      <c r="N18" s="3725">
        <v>1.4348377511665937</v>
      </c>
      <c r="O18" s="3726">
        <v>1.4157283717951621</v>
      </c>
      <c r="P18" s="3727">
        <f>AVERAGE(L18:O18)</f>
        <v>1.463923333606715</v>
      </c>
      <c r="Q18" s="3728">
        <v>1.24</v>
      </c>
      <c r="R18" s="3729">
        <v>1.66</v>
      </c>
      <c r="S18" s="3736">
        <v>1.18</v>
      </c>
      <c r="T18" s="3736">
        <f>AVERAGE(O18:S18)</f>
        <v>1.3919303410803754</v>
      </c>
    </row>
    <row r="19" spans="1:20" ht="15" thickBot="1">
      <c r="A19" s="154"/>
      <c r="B19" s="1424" t="s">
        <v>203</v>
      </c>
      <c r="C19" s="1425"/>
      <c r="D19" s="1426">
        <v>1.6355509319981032</v>
      </c>
      <c r="E19" s="1427">
        <v>1.6057938243488814</v>
      </c>
      <c r="F19" s="1427">
        <v>1.5220293541723511</v>
      </c>
      <c r="G19" s="1427">
        <v>1.4659289769839066</v>
      </c>
      <c r="H19" s="1427">
        <v>1.4492757533049243</v>
      </c>
      <c r="I19" s="1427">
        <v>1.4819725113027151</v>
      </c>
      <c r="J19" s="1427">
        <v>1.5431726537996364</v>
      </c>
      <c r="K19" s="1427">
        <v>1.5994361485517086</v>
      </c>
      <c r="L19" s="1427">
        <v>1.6156575134046374</v>
      </c>
      <c r="M19" s="1427">
        <v>1.5855894194982867</v>
      </c>
      <c r="N19" s="1427">
        <v>1.5566332188277681</v>
      </c>
      <c r="O19" s="1428">
        <v>1.5448134813886878</v>
      </c>
      <c r="P19" s="1431">
        <f>AVERAGE(L19:O19)</f>
        <v>1.5756734082798449</v>
      </c>
      <c r="Q19" s="3706">
        <v>1.48</v>
      </c>
      <c r="R19" s="3713">
        <v>1.48</v>
      </c>
      <c r="S19" s="3737">
        <v>1.1399999999999999</v>
      </c>
      <c r="T19" s="3737">
        <f>AVERAGE(O19:S19)</f>
        <v>1.4440973779337065</v>
      </c>
    </row>
    <row r="20" spans="1:20" ht="24" customHeight="1">
      <c r="A20" s="154"/>
      <c r="B20" s="1429"/>
      <c r="C20" s="1430"/>
      <c r="D20" s="5693" t="s">
        <v>600</v>
      </c>
      <c r="E20" s="5693"/>
      <c r="F20" s="5693"/>
      <c r="G20" s="5693"/>
      <c r="H20" s="5693"/>
      <c r="I20" s="5693"/>
      <c r="J20" s="5693"/>
      <c r="K20" s="5693"/>
      <c r="L20" s="5693"/>
      <c r="M20" s="5693"/>
      <c r="N20" s="5693"/>
      <c r="O20" s="5693"/>
      <c r="Q20" s="5694" t="s">
        <v>1462</v>
      </c>
      <c r="R20" s="5694"/>
      <c r="S20" s="5694"/>
      <c r="T20" s="5694"/>
    </row>
    <row r="21" spans="1:20">
      <c r="D21" s="55" t="s">
        <v>1067</v>
      </c>
    </row>
    <row r="22" spans="1:20"/>
    <row r="23" spans="1:20"/>
    <row r="24" spans="1:20"/>
    <row r="25" spans="1:20"/>
    <row r="26" spans="1:20"/>
    <row r="27" spans="1:20"/>
    <row r="28" spans="1:20"/>
    <row r="29" spans="1:20"/>
    <row r="30" spans="1:20"/>
    <row r="31" spans="1:20"/>
    <row r="32" spans="1:20"/>
    <row r="33" spans="2:2"/>
    <row r="34" spans="2:2"/>
    <row r="35" spans="2:2"/>
    <row r="36" spans="2:2"/>
    <row r="37" spans="2:2"/>
    <row r="38" spans="2:2">
      <c r="B38" s="253" t="s">
        <v>515</v>
      </c>
    </row>
    <row r="39" spans="2:2" ht="15" customHeight="1">
      <c r="B39" s="254" t="s">
        <v>516</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T20"/>
  </mergeCells>
  <phoneticPr fontId="11" type="noConversion"/>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C4BE-013A-40E6-A5D4-22CF9C361F5F}">
  <sheetPr>
    <tabColor theme="6" tint="-0.499984740745262"/>
    <pageSetUpPr fitToPage="1"/>
  </sheetPr>
  <dimension ref="A1:EO190"/>
  <sheetViews>
    <sheetView showGridLines="0" zoomScale="70" zoomScaleNormal="70" workbookViewId="0">
      <selection activeCell="E7" sqref="E7"/>
    </sheetView>
  </sheetViews>
  <sheetFormatPr baseColWidth="10" defaultColWidth="11.44140625" defaultRowHeight="14.4"/>
  <cols>
    <col min="1" max="1" width="5.5546875" customWidth="1"/>
    <col min="2" max="2" width="18.44140625" customWidth="1"/>
    <col min="3" max="14" width="11.77734375" customWidth="1"/>
  </cols>
  <sheetData>
    <row r="1" spans="1:145">
      <c r="B1" s="5648" t="s">
        <v>1634</v>
      </c>
      <c r="C1" s="5648"/>
      <c r="D1" s="5648"/>
      <c r="E1" s="5648"/>
      <c r="F1" s="5648"/>
      <c r="G1" s="5648"/>
      <c r="H1" s="5648"/>
      <c r="I1" s="5648"/>
      <c r="J1" s="5648"/>
      <c r="K1" s="5648"/>
      <c r="L1" s="5648"/>
      <c r="M1" s="5648"/>
      <c r="N1" s="5648"/>
    </row>
    <row r="2" spans="1:145" hidden="1"/>
    <row r="3" spans="1:145" ht="15" thickBot="1"/>
    <row r="4" spans="1:145">
      <c r="B4" s="3825"/>
      <c r="C4" s="547" t="s">
        <v>1628</v>
      </c>
      <c r="D4" s="548"/>
      <c r="E4" s="548" t="s">
        <v>33</v>
      </c>
      <c r="F4" s="548"/>
      <c r="G4" s="548"/>
      <c r="H4" s="548"/>
      <c r="I4" s="548"/>
      <c r="J4" s="548"/>
      <c r="K4" s="548"/>
      <c r="L4" s="548"/>
      <c r="M4" s="548"/>
      <c r="N4" s="551"/>
      <c r="P4" s="3826" t="s">
        <v>903</v>
      </c>
      <c r="Q4" s="3827"/>
      <c r="R4" s="3827"/>
      <c r="S4" s="3828"/>
      <c r="T4" s="3828"/>
      <c r="U4" s="3828"/>
      <c r="V4" s="3828"/>
      <c r="W4" s="3828"/>
      <c r="X4" s="3828"/>
      <c r="Y4" s="3829"/>
      <c r="Z4" s="3829"/>
      <c r="AA4" s="3829"/>
    </row>
    <row r="5" spans="1:145" s="2158" customFormat="1">
      <c r="A5"/>
      <c r="B5" s="3830"/>
      <c r="C5" s="549" t="s">
        <v>36</v>
      </c>
      <c r="D5" s="550" t="s">
        <v>187</v>
      </c>
      <c r="E5" s="550" t="s">
        <v>546</v>
      </c>
      <c r="F5" s="550" t="s">
        <v>188</v>
      </c>
      <c r="G5" s="550" t="s">
        <v>189</v>
      </c>
      <c r="H5" s="550" t="s">
        <v>180</v>
      </c>
      <c r="I5" s="550" t="s">
        <v>42</v>
      </c>
      <c r="J5" s="550" t="s">
        <v>43</v>
      </c>
      <c r="K5" s="550" t="s">
        <v>44</v>
      </c>
      <c r="L5" s="550" t="s">
        <v>1630</v>
      </c>
      <c r="M5" s="550" t="s">
        <v>1631</v>
      </c>
      <c r="N5" s="552" t="s">
        <v>1632</v>
      </c>
      <c r="O5"/>
      <c r="P5" s="3831" t="s">
        <v>856</v>
      </c>
      <c r="Q5" s="3832" t="s">
        <v>857</v>
      </c>
      <c r="R5" s="3833"/>
      <c r="S5" s="3834"/>
      <c r="T5" s="3834"/>
      <c r="U5" s="3834"/>
      <c r="V5" s="3834"/>
      <c r="W5" s="3834"/>
      <c r="X5" s="3828"/>
      <c r="Y5" s="3829"/>
      <c r="Z5" s="3829"/>
      <c r="AA5" s="3829"/>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row>
    <row r="6" spans="1:145" s="2818" customFormat="1" ht="15" thickBot="1">
      <c r="A6"/>
      <c r="B6" s="3835"/>
      <c r="C6" s="3836"/>
      <c r="D6" s="3836"/>
      <c r="E6" s="3836"/>
      <c r="F6" s="3836"/>
      <c r="G6" s="3836"/>
      <c r="H6" s="3836"/>
      <c r="I6" s="3836"/>
      <c r="J6" s="3836"/>
      <c r="K6" s="3836"/>
      <c r="L6" s="5661"/>
      <c r="M6" s="5661"/>
      <c r="N6" s="5661"/>
      <c r="O6"/>
      <c r="P6" s="3827"/>
      <c r="Q6" s="3827"/>
      <c r="R6" s="3827"/>
      <c r="S6" s="3828"/>
      <c r="T6" s="3828"/>
      <c r="U6" s="3828"/>
      <c r="V6" s="3828"/>
      <c r="W6" s="3828"/>
      <c r="X6" s="3828"/>
      <c r="Y6" s="3829"/>
      <c r="Z6" s="3829"/>
      <c r="AA6" s="3829"/>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row>
    <row r="7" spans="1:145" s="2818" customFormat="1" ht="15" thickBot="1">
      <c r="A7"/>
      <c r="B7" s="553" t="s">
        <v>151</v>
      </c>
      <c r="C7" s="856">
        <v>11</v>
      </c>
      <c r="D7" s="856">
        <v>16</v>
      </c>
      <c r="E7" s="856">
        <v>15</v>
      </c>
      <c r="F7" s="857">
        <v>13</v>
      </c>
      <c r="G7" s="857">
        <v>14</v>
      </c>
      <c r="H7" s="856">
        <v>23</v>
      </c>
      <c r="I7" s="856">
        <v>23</v>
      </c>
      <c r="J7" s="856">
        <v>28</v>
      </c>
      <c r="K7" s="856">
        <v>28</v>
      </c>
      <c r="L7" s="858">
        <v>20</v>
      </c>
      <c r="M7" s="856">
        <v>20</v>
      </c>
      <c r="N7" s="859">
        <v>25</v>
      </c>
      <c r="O7"/>
      <c r="P7" s="3837"/>
      <c r="Q7" s="3837"/>
      <c r="R7" s="3837"/>
      <c r="S7" s="3838" t="s">
        <v>519</v>
      </c>
      <c r="T7" s="3839"/>
      <c r="U7" s="3840"/>
      <c r="V7" s="3840"/>
      <c r="W7" s="3840"/>
      <c r="X7" s="3840"/>
      <c r="Y7" s="3840"/>
      <c r="Z7" s="3840"/>
      <c r="AA7" s="3840"/>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row>
    <row r="8" spans="1:145">
      <c r="B8" s="555" t="s">
        <v>1404</v>
      </c>
      <c r="C8" s="860">
        <v>21</v>
      </c>
      <c r="D8" s="860">
        <v>25</v>
      </c>
      <c r="E8" s="860">
        <v>24</v>
      </c>
      <c r="F8" s="860">
        <v>28</v>
      </c>
      <c r="G8" s="860">
        <v>19</v>
      </c>
      <c r="H8" s="860">
        <v>33</v>
      </c>
      <c r="I8" s="860">
        <v>33</v>
      </c>
      <c r="J8" s="860">
        <v>31</v>
      </c>
      <c r="K8" s="860">
        <v>44</v>
      </c>
      <c r="L8" s="860">
        <v>29.59</v>
      </c>
      <c r="M8" s="860">
        <v>29.59</v>
      </c>
      <c r="N8" s="861">
        <v>29.59</v>
      </c>
      <c r="P8" s="3837"/>
      <c r="Q8" s="3837"/>
      <c r="R8" s="3837"/>
      <c r="S8" s="5695" t="s">
        <v>549</v>
      </c>
      <c r="T8" s="5695"/>
      <c r="U8" s="5695"/>
      <c r="V8" s="5695"/>
      <c r="W8" s="5695"/>
      <c r="X8" s="5695"/>
      <c r="Y8" s="5695"/>
      <c r="Z8" s="5695"/>
      <c r="AA8" s="5695"/>
    </row>
    <row r="9" spans="1:145">
      <c r="B9" s="555" t="s">
        <v>1405</v>
      </c>
      <c r="C9" s="860">
        <v>10</v>
      </c>
      <c r="D9" s="860">
        <v>17</v>
      </c>
      <c r="E9" s="860">
        <v>16</v>
      </c>
      <c r="F9" s="860">
        <v>15</v>
      </c>
      <c r="G9" s="860">
        <v>13</v>
      </c>
      <c r="H9" s="860">
        <v>22</v>
      </c>
      <c r="I9" s="860">
        <v>26</v>
      </c>
      <c r="J9" s="860">
        <v>32</v>
      </c>
      <c r="K9" s="860">
        <v>28</v>
      </c>
      <c r="L9" s="860">
        <v>20.45</v>
      </c>
      <c r="M9" s="860">
        <v>20.45</v>
      </c>
      <c r="N9" s="861">
        <v>20.45</v>
      </c>
      <c r="P9" s="3837"/>
      <c r="Q9" s="3837"/>
      <c r="R9" s="3837"/>
      <c r="S9" s="5695" t="s">
        <v>507</v>
      </c>
      <c r="T9" s="5695"/>
      <c r="U9" s="5695"/>
      <c r="V9" s="5695"/>
      <c r="W9" s="5695"/>
      <c r="X9" s="5695"/>
      <c r="Y9" s="5695"/>
      <c r="Z9" s="5695"/>
      <c r="AA9" s="5695"/>
    </row>
    <row r="10" spans="1:145" ht="22.8" customHeight="1" thickBot="1">
      <c r="B10" s="556" t="s">
        <v>1406</v>
      </c>
      <c r="C10" s="862">
        <v>4</v>
      </c>
      <c r="D10" s="862">
        <v>7</v>
      </c>
      <c r="E10" s="862">
        <v>5</v>
      </c>
      <c r="F10" s="862">
        <v>8</v>
      </c>
      <c r="G10" s="862">
        <v>14</v>
      </c>
      <c r="H10" s="862">
        <v>21</v>
      </c>
      <c r="I10" s="862">
        <v>16</v>
      </c>
      <c r="J10" s="862">
        <v>13</v>
      </c>
      <c r="K10" s="862">
        <v>13</v>
      </c>
      <c r="L10" s="862">
        <v>12.24</v>
      </c>
      <c r="M10" s="862">
        <v>12.24</v>
      </c>
      <c r="N10" s="863">
        <v>12.24</v>
      </c>
      <c r="P10" s="3837"/>
      <c r="Q10" s="3837"/>
      <c r="R10" s="3837"/>
      <c r="S10" s="5695" t="s">
        <v>511</v>
      </c>
      <c r="T10" s="5695"/>
      <c r="U10" s="5695"/>
      <c r="V10" s="5695"/>
      <c r="W10" s="5695"/>
      <c r="X10" s="5695"/>
      <c r="Y10" s="5695"/>
      <c r="Z10" s="5695"/>
      <c r="AA10" s="5695"/>
    </row>
    <row r="11" spans="1:145" ht="22.8" customHeight="1" thickBot="1">
      <c r="B11" s="3841"/>
      <c r="C11" s="865">
        <f>C7/C16-1</f>
        <v>-0.56000000000000005</v>
      </c>
      <c r="D11" s="866">
        <f>D7/D16-1</f>
        <v>0.33333333333333326</v>
      </c>
      <c r="E11" s="866">
        <f>E7/E16-1</f>
        <v>14</v>
      </c>
      <c r="F11" s="866">
        <v>12</v>
      </c>
      <c r="G11" s="866">
        <f t="shared" ref="G11:N11" si="0">G7/G16-1</f>
        <v>0.39999999999999991</v>
      </c>
      <c r="H11" s="866">
        <f t="shared" si="0"/>
        <v>3.5999999999999996</v>
      </c>
      <c r="I11" s="866">
        <f t="shared" si="0"/>
        <v>10.5</v>
      </c>
      <c r="J11" s="866">
        <f t="shared" si="0"/>
        <v>3</v>
      </c>
      <c r="K11" s="866">
        <f t="shared" si="0"/>
        <v>2.5</v>
      </c>
      <c r="L11" s="866">
        <f t="shared" si="0"/>
        <v>0.53846153846153855</v>
      </c>
      <c r="M11" s="866">
        <f t="shared" si="0"/>
        <v>0.53846153846153855</v>
      </c>
      <c r="N11" s="866">
        <f t="shared" si="0"/>
        <v>0.47058823529411775</v>
      </c>
      <c r="P11" s="3837"/>
      <c r="Q11" s="3837"/>
      <c r="R11" s="3837"/>
      <c r="S11" s="5695" t="s">
        <v>518</v>
      </c>
      <c r="T11" s="5695"/>
      <c r="U11" s="5695"/>
      <c r="V11" s="5695"/>
      <c r="W11" s="5695"/>
      <c r="X11" s="5695"/>
      <c r="Y11" s="5695"/>
      <c r="Z11" s="5695"/>
      <c r="AA11" s="5695"/>
    </row>
    <row r="12" spans="1:145" s="3842" customFormat="1" ht="22.8" customHeight="1" thickBot="1">
      <c r="A12"/>
      <c r="B12" s="3841"/>
      <c r="C12" s="5670" t="s">
        <v>1633</v>
      </c>
      <c r="D12" s="5671"/>
      <c r="E12" s="5671"/>
      <c r="F12" s="5671"/>
      <c r="G12" s="5671"/>
      <c r="H12" s="5671"/>
      <c r="I12" s="5671"/>
      <c r="J12" s="5671"/>
      <c r="K12" s="5671"/>
      <c r="L12" s="5671"/>
      <c r="M12" s="5671"/>
      <c r="N12" s="5671"/>
      <c r="O12"/>
      <c r="P12" s="3837"/>
      <c r="Q12" s="3837"/>
      <c r="R12" s="3837"/>
      <c r="S12" s="5695" t="s">
        <v>517</v>
      </c>
      <c r="T12" s="5695"/>
      <c r="U12" s="5695"/>
      <c r="V12" s="5695"/>
      <c r="W12" s="5695"/>
      <c r="X12" s="5695"/>
      <c r="Y12" s="5695"/>
      <c r="Z12" s="5695"/>
      <c r="AA12" s="5695"/>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row>
    <row r="13" spans="1:145" s="3842" customFormat="1" ht="22.8" customHeight="1" thickBot="1">
      <c r="A13"/>
      <c r="B13" s="3835"/>
      <c r="C13" s="3836"/>
      <c r="D13" s="3836"/>
      <c r="E13" s="3836"/>
      <c r="F13" s="3836"/>
      <c r="G13" s="3836"/>
      <c r="H13" s="3836"/>
      <c r="I13" s="3836"/>
      <c r="J13" s="3836"/>
      <c r="K13" s="3836"/>
      <c r="L13" s="5661"/>
      <c r="M13" s="5661"/>
      <c r="N13" s="5661"/>
      <c r="O13"/>
      <c r="P13" s="3837"/>
      <c r="Q13" s="3837"/>
      <c r="R13" s="3837"/>
      <c r="S13" s="5695" t="s">
        <v>1635</v>
      </c>
      <c r="T13" s="5695"/>
      <c r="U13" s="5695"/>
      <c r="V13" s="5695"/>
      <c r="W13" s="5695"/>
      <c r="X13" s="5695"/>
      <c r="Y13" s="5695"/>
      <c r="Z13" s="5695"/>
      <c r="AA13" s="5695"/>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row>
    <row r="14" spans="1:145" ht="22.8" customHeight="1">
      <c r="C14" s="166" t="s">
        <v>1629</v>
      </c>
      <c r="D14" s="167"/>
      <c r="E14" s="167" t="s">
        <v>33</v>
      </c>
      <c r="F14" s="167"/>
      <c r="G14" s="167"/>
      <c r="H14" s="167"/>
      <c r="I14" s="167"/>
      <c r="J14" s="167"/>
      <c r="K14" s="167"/>
      <c r="L14" s="167"/>
      <c r="M14" s="167"/>
      <c r="N14" s="168"/>
      <c r="P14" s="3837"/>
      <c r="Q14" s="3837"/>
      <c r="R14" s="3837"/>
      <c r="S14" s="5696" t="s">
        <v>516</v>
      </c>
      <c r="T14" s="5696"/>
      <c r="U14" s="5696"/>
      <c r="V14" s="5696"/>
      <c r="W14" s="5696"/>
      <c r="X14" s="5696"/>
      <c r="Y14" s="5696"/>
      <c r="Z14" s="5696"/>
    </row>
    <row r="15" spans="1:145" ht="22.8" customHeight="1" thickBot="1">
      <c r="C15" s="466" t="s">
        <v>36</v>
      </c>
      <c r="D15" s="3843" t="s">
        <v>37</v>
      </c>
      <c r="E15" s="3843" t="s">
        <v>38</v>
      </c>
      <c r="F15" s="3843" t="s">
        <v>39</v>
      </c>
      <c r="G15" s="3843" t="s">
        <v>40</v>
      </c>
      <c r="H15" s="3843" t="s">
        <v>41</v>
      </c>
      <c r="I15" s="3843" t="s">
        <v>42</v>
      </c>
      <c r="J15" s="3843" t="s">
        <v>43</v>
      </c>
      <c r="K15" s="3843" t="s">
        <v>44</v>
      </c>
      <c r="L15" s="3843" t="s">
        <v>45</v>
      </c>
      <c r="M15" s="3843" t="s">
        <v>46</v>
      </c>
      <c r="N15" s="3843" t="s">
        <v>47</v>
      </c>
    </row>
    <row r="16" spans="1:145" ht="22.8" customHeight="1" thickBot="1">
      <c r="B16" s="335" t="s">
        <v>151</v>
      </c>
      <c r="C16" s="3821">
        <v>25</v>
      </c>
      <c r="D16" s="3822">
        <v>12</v>
      </c>
      <c r="E16" s="3823">
        <v>1</v>
      </c>
      <c r="F16" s="3823">
        <v>0</v>
      </c>
      <c r="G16" s="3823">
        <v>10</v>
      </c>
      <c r="H16" s="3822">
        <v>5</v>
      </c>
      <c r="I16" s="3823">
        <v>2</v>
      </c>
      <c r="J16" s="3824">
        <v>7</v>
      </c>
      <c r="K16" s="3824">
        <v>8</v>
      </c>
      <c r="L16" s="3823">
        <v>13</v>
      </c>
      <c r="M16" s="3823">
        <v>13</v>
      </c>
      <c r="N16" s="3823">
        <v>17</v>
      </c>
    </row>
    <row r="17" spans="2:14" ht="22.8" customHeight="1">
      <c r="B17" s="336" t="s">
        <v>1404</v>
      </c>
      <c r="C17" s="3818">
        <v>63</v>
      </c>
      <c r="D17" s="3819">
        <v>1</v>
      </c>
      <c r="E17" s="3820">
        <v>0</v>
      </c>
      <c r="F17" s="3820">
        <v>0</v>
      </c>
      <c r="G17" s="3820">
        <v>8</v>
      </c>
      <c r="H17" s="3819">
        <v>10</v>
      </c>
      <c r="I17" s="3820">
        <v>4</v>
      </c>
      <c r="J17" s="3820">
        <v>18</v>
      </c>
      <c r="K17" s="3820">
        <v>17</v>
      </c>
      <c r="L17" s="3820">
        <v>20</v>
      </c>
      <c r="M17" s="3820">
        <v>23</v>
      </c>
      <c r="N17" s="3820">
        <v>27</v>
      </c>
    </row>
    <row r="18" spans="2:14">
      <c r="B18" s="336" t="s">
        <v>1405</v>
      </c>
      <c r="C18" s="871">
        <v>15</v>
      </c>
      <c r="D18" s="872">
        <v>17</v>
      </c>
      <c r="E18" s="873">
        <v>1</v>
      </c>
      <c r="F18" s="873">
        <v>0</v>
      </c>
      <c r="G18" s="873">
        <v>11</v>
      </c>
      <c r="H18" s="872">
        <v>3</v>
      </c>
      <c r="I18" s="874">
        <v>1</v>
      </c>
      <c r="J18" s="874">
        <v>0</v>
      </c>
      <c r="K18" s="874">
        <v>5</v>
      </c>
      <c r="L18" s="874">
        <v>12</v>
      </c>
      <c r="M18" s="874">
        <v>7</v>
      </c>
      <c r="N18" s="874">
        <v>8</v>
      </c>
    </row>
    <row r="19" spans="2:14" ht="15" thickBot="1">
      <c r="B19" s="468" t="s">
        <v>1406</v>
      </c>
      <c r="C19" s="875">
        <v>8</v>
      </c>
      <c r="D19" s="876">
        <v>2</v>
      </c>
      <c r="E19" s="877">
        <v>1</v>
      </c>
      <c r="F19" s="877">
        <v>1</v>
      </c>
      <c r="G19" s="877">
        <v>11</v>
      </c>
      <c r="H19" s="876">
        <v>5</v>
      </c>
      <c r="I19" s="878">
        <v>2</v>
      </c>
      <c r="J19" s="878">
        <v>5</v>
      </c>
      <c r="K19" s="878">
        <v>5</v>
      </c>
      <c r="L19" s="878">
        <v>12</v>
      </c>
      <c r="M19" s="878">
        <v>11</v>
      </c>
      <c r="N19" s="878">
        <v>15</v>
      </c>
    </row>
    <row r="20" spans="2:14" ht="15" thickBot="1">
      <c r="B20" s="3844"/>
      <c r="C20" s="865">
        <f t="shared" ref="C20:N20" si="1">C16/C26-1</f>
        <v>-0.48905954365378712</v>
      </c>
      <c r="D20" s="866">
        <f t="shared" si="1"/>
        <v>-0.76439492898191208</v>
      </c>
      <c r="E20" s="866">
        <f t="shared" si="1"/>
        <v>-0.98123520604798209</v>
      </c>
      <c r="F20" s="866">
        <f t="shared" si="1"/>
        <v>-1</v>
      </c>
      <c r="G20" s="866">
        <f t="shared" si="1"/>
        <v>-0.78304424124554317</v>
      </c>
      <c r="H20" s="866">
        <f t="shared" si="1"/>
        <v>-0.9015111632792584</v>
      </c>
      <c r="I20" s="866">
        <f t="shared" si="1"/>
        <v>-0.96281237827588761</v>
      </c>
      <c r="J20" s="866">
        <f t="shared" si="1"/>
        <v>-0.8599251976053599</v>
      </c>
      <c r="K20" s="866">
        <f t="shared" si="1"/>
        <v>-0.83450238801625654</v>
      </c>
      <c r="L20" s="866">
        <f t="shared" si="1"/>
        <v>-0.79849681827268004</v>
      </c>
      <c r="M20" s="866">
        <f t="shared" si="1"/>
        <v>-0.75435070420828731</v>
      </c>
      <c r="N20" s="866">
        <f t="shared" si="1"/>
        <v>-0.52380952380952384</v>
      </c>
    </row>
    <row r="21" spans="2:14" ht="15" thickBot="1">
      <c r="C21" s="5670" t="s">
        <v>1633</v>
      </c>
      <c r="D21" s="5671"/>
      <c r="E21" s="5671"/>
      <c r="F21" s="5671"/>
      <c r="G21" s="5671"/>
      <c r="H21" s="5671"/>
      <c r="I21" s="5671"/>
      <c r="J21" s="5671"/>
      <c r="K21" s="5671"/>
      <c r="L21" s="5671"/>
      <c r="M21" s="5671"/>
      <c r="N21" s="5671"/>
    </row>
    <row r="22" spans="2:14" ht="15" thickBot="1">
      <c r="B22" s="3835"/>
      <c r="C22" s="3836"/>
      <c r="D22" s="3836"/>
      <c r="E22" s="3836"/>
      <c r="F22" s="3836"/>
      <c r="G22" s="3836"/>
      <c r="H22" s="3836"/>
      <c r="I22" s="3836"/>
      <c r="J22" s="3836"/>
      <c r="K22" s="3836"/>
      <c r="L22" s="5661"/>
      <c r="M22" s="5661"/>
      <c r="N22" s="5661"/>
    </row>
    <row r="23" spans="2:14">
      <c r="B23" s="3845"/>
      <c r="C23" s="1348" t="s">
        <v>1064</v>
      </c>
      <c r="D23" s="1328"/>
      <c r="E23" s="1328" t="s">
        <v>33</v>
      </c>
      <c r="F23" s="1328"/>
      <c r="G23" s="1328"/>
      <c r="H23" s="1328"/>
      <c r="I23" s="1328"/>
      <c r="J23" s="1328"/>
      <c r="K23" s="1328"/>
      <c r="L23" s="1328"/>
      <c r="M23" s="1328"/>
      <c r="N23" s="1329"/>
    </row>
    <row r="24" spans="2:14">
      <c r="B24" s="3846"/>
      <c r="C24" s="1349" t="s">
        <v>36</v>
      </c>
      <c r="D24" s="1330" t="s">
        <v>187</v>
      </c>
      <c r="E24" s="1330" t="s">
        <v>546</v>
      </c>
      <c r="F24" s="1330" t="s">
        <v>188</v>
      </c>
      <c r="G24" s="1330" t="s">
        <v>189</v>
      </c>
      <c r="H24" s="1330" t="s">
        <v>180</v>
      </c>
      <c r="I24" s="1330" t="s">
        <v>42</v>
      </c>
      <c r="J24" s="1330" t="s">
        <v>43</v>
      </c>
      <c r="K24" s="1330" t="s">
        <v>44</v>
      </c>
      <c r="L24" s="1330" t="s">
        <v>45</v>
      </c>
      <c r="M24" s="1330" t="s">
        <v>46</v>
      </c>
      <c r="N24" s="1331" t="s">
        <v>47</v>
      </c>
    </row>
    <row r="25" spans="2:14" ht="15" thickBot="1">
      <c r="B25" s="3846"/>
      <c r="C25" s="1350" t="s">
        <v>576</v>
      </c>
      <c r="D25" s="1102" t="s">
        <v>576</v>
      </c>
      <c r="E25" s="1102" t="s">
        <v>576</v>
      </c>
      <c r="F25" s="1102" t="s">
        <v>576</v>
      </c>
      <c r="G25" s="1102" t="s">
        <v>576</v>
      </c>
      <c r="H25" s="1102" t="s">
        <v>576</v>
      </c>
      <c r="I25" s="1102" t="s">
        <v>576</v>
      </c>
      <c r="J25" s="1102" t="s">
        <v>576</v>
      </c>
      <c r="K25" s="1102" t="s">
        <v>576</v>
      </c>
      <c r="L25" s="1102" t="s">
        <v>576</v>
      </c>
      <c r="M25" s="1102" t="s">
        <v>576</v>
      </c>
      <c r="N25" s="3847"/>
    </row>
    <row r="26" spans="2:14" ht="16.2" thickBot="1">
      <c r="B26" s="1335" t="s">
        <v>1009</v>
      </c>
      <c r="C26" s="1339">
        <f>C42+C42*C32</f>
        <v>48.929380497245297</v>
      </c>
      <c r="D26" s="1104">
        <f t="shared" ref="D26:M26" si="2">D42+D42*D32</f>
        <v>50.932689810733024</v>
      </c>
      <c r="E26" s="1104">
        <f t="shared" si="2"/>
        <v>53.291285934555418</v>
      </c>
      <c r="F26" s="1104">
        <f t="shared" si="2"/>
        <v>48.732591057797165</v>
      </c>
      <c r="G26" s="1104">
        <f t="shared" si="2"/>
        <v>46.092346464597227</v>
      </c>
      <c r="H26" s="1104">
        <f t="shared" si="2"/>
        <v>50.767174905082484</v>
      </c>
      <c r="I26" s="1104">
        <f t="shared" si="2"/>
        <v>53.78133656509695</v>
      </c>
      <c r="J26" s="1104">
        <f t="shared" si="2"/>
        <v>49.973299125409667</v>
      </c>
      <c r="K26" s="1104">
        <f t="shared" si="2"/>
        <v>48.339066069338976</v>
      </c>
      <c r="L26" s="1104">
        <f t="shared" si="2"/>
        <v>64.515110325116282</v>
      </c>
      <c r="M26" s="1104">
        <f t="shared" si="2"/>
        <v>52.920974017457659</v>
      </c>
      <c r="N26" s="3848">
        <v>35.700000000000003</v>
      </c>
    </row>
    <row r="27" spans="2:14" ht="16.2" hidden="1" thickBot="1">
      <c r="B27" s="1336" t="s">
        <v>858</v>
      </c>
      <c r="C27" s="1340">
        <f t="shared" ref="C27:M27" si="3">AVERAGE(C28,C33,C35)</f>
        <v>40.56843422032636</v>
      </c>
      <c r="D27" s="1145">
        <f t="shared" si="3"/>
        <v>47.14196923852748</v>
      </c>
      <c r="E27" s="1145">
        <f t="shared" si="3"/>
        <v>50.87452115812917</v>
      </c>
      <c r="F27" s="1145">
        <f t="shared" si="3"/>
        <v>49.570770628862228</v>
      </c>
      <c r="G27" s="1145">
        <f t="shared" si="3"/>
        <v>44.441995406258968</v>
      </c>
      <c r="H27" s="1145">
        <f t="shared" si="3"/>
        <v>50.756653116531169</v>
      </c>
      <c r="I27" s="1145">
        <f t="shared" si="3"/>
        <v>48.845341643582636</v>
      </c>
      <c r="J27" s="1145">
        <f t="shared" si="3"/>
        <v>45.090299161346856</v>
      </c>
      <c r="K27" s="1145">
        <f t="shared" si="3"/>
        <v>45.92640572131652</v>
      </c>
      <c r="L27" s="1145">
        <f t="shared" si="3"/>
        <v>53.836950000000002</v>
      </c>
      <c r="M27" s="1145">
        <f t="shared" si="3"/>
        <v>50.774516666666671</v>
      </c>
      <c r="N27" s="3849">
        <v>35.67</v>
      </c>
    </row>
    <row r="28" spans="2:14">
      <c r="B28" s="1134" t="s">
        <v>913</v>
      </c>
      <c r="C28" s="1341">
        <f>AVERAGE(C29:C30)</f>
        <v>50.335000000000001</v>
      </c>
      <c r="D28" s="1333">
        <f>AVERAGE(D29:D30)</f>
        <v>61.024999999999999</v>
      </c>
      <c r="E28" s="1333">
        <f>AVERAGE(E29:E30)</f>
        <v>59.019999999999996</v>
      </c>
      <c r="F28" s="1333">
        <f>AVERAGE(F29:F30)</f>
        <v>67.069999999999993</v>
      </c>
      <c r="G28" s="1333">
        <f>AVERAGE(G29:G30)</f>
        <v>57.47</v>
      </c>
      <c r="H28" s="1333">
        <f t="shared" ref="H28:M28" si="4">AVERAGE(H29:H30)</f>
        <v>60.254999999999995</v>
      </c>
      <c r="I28" s="1333">
        <f t="shared" si="4"/>
        <v>57.954999999999998</v>
      </c>
      <c r="J28" s="1333">
        <f t="shared" si="4"/>
        <v>52.8</v>
      </c>
      <c r="K28" s="1333">
        <f t="shared" si="4"/>
        <v>62.484999999999999</v>
      </c>
      <c r="L28" s="1333">
        <f t="shared" si="4"/>
        <v>63.660850000000003</v>
      </c>
      <c r="M28" s="1333">
        <f t="shared" si="4"/>
        <v>66.833550000000002</v>
      </c>
      <c r="N28" s="3850">
        <v>49.6</v>
      </c>
    </row>
    <row r="29" spans="2:14" ht="15.6" hidden="1">
      <c r="B29" s="1087" t="s">
        <v>907</v>
      </c>
      <c r="C29" s="1342">
        <v>49</v>
      </c>
      <c r="D29" s="1103">
        <v>63</v>
      </c>
      <c r="E29" s="1103">
        <v>58</v>
      </c>
      <c r="F29" s="1103">
        <v>71</v>
      </c>
      <c r="G29" s="1103">
        <v>57</v>
      </c>
      <c r="H29" s="1103">
        <v>59</v>
      </c>
      <c r="I29" s="1103">
        <v>55</v>
      </c>
      <c r="J29" s="1103">
        <v>50</v>
      </c>
      <c r="K29" s="1103">
        <v>63</v>
      </c>
      <c r="L29" s="1103">
        <v>61</v>
      </c>
      <c r="M29" s="1103">
        <f>M45*1.05</f>
        <v>65.100000000000009</v>
      </c>
      <c r="N29" s="3851"/>
    </row>
    <row r="30" spans="2:14" ht="15.6" hidden="1">
      <c r="B30" s="5666" t="s">
        <v>1066</v>
      </c>
      <c r="C30" s="1343">
        <v>51.67</v>
      </c>
      <c r="D30" s="1089">
        <v>59.05</v>
      </c>
      <c r="E30" s="1089">
        <v>60.04</v>
      </c>
      <c r="F30" s="1089">
        <v>63.14</v>
      </c>
      <c r="G30" s="1089">
        <v>57.94</v>
      </c>
      <c r="H30" s="1089">
        <v>61.51</v>
      </c>
      <c r="I30" s="1089">
        <v>60.91</v>
      </c>
      <c r="J30" s="1089">
        <v>55.6</v>
      </c>
      <c r="K30" s="1089">
        <v>61.97</v>
      </c>
      <c r="L30" s="1332">
        <f>L46*1.03</f>
        <v>66.321700000000007</v>
      </c>
      <c r="M30" s="1332">
        <f>M46*1.03</f>
        <v>68.567099999999996</v>
      </c>
      <c r="N30" s="3852"/>
    </row>
    <row r="31" spans="2:14" ht="122.4" hidden="1">
      <c r="B31" s="5666"/>
      <c r="C31" s="1344" t="s">
        <v>1061</v>
      </c>
      <c r="D31" s="5667" t="s">
        <v>1361</v>
      </c>
      <c r="E31" s="5668"/>
      <c r="F31" s="5668"/>
      <c r="G31" s="5668"/>
      <c r="H31" s="5668"/>
      <c r="I31" s="5668"/>
      <c r="J31" s="5668"/>
      <c r="K31" s="5669"/>
      <c r="L31" s="1334"/>
      <c r="M31" s="1334"/>
      <c r="N31" s="3853" t="s">
        <v>1401</v>
      </c>
    </row>
    <row r="32" spans="2:14" hidden="1">
      <c r="B32" s="3815"/>
      <c r="C32" s="3854">
        <f>C30/C46-1</f>
        <v>4.9563274426162929E-2</v>
      </c>
      <c r="D32" s="1334">
        <f t="shared" ref="D32:M32" si="5">D30/D46-1</f>
        <v>-7.3962010421920743E-3</v>
      </c>
      <c r="E32" s="1334">
        <f t="shared" si="5"/>
        <v>2.8610587630632178E-2</v>
      </c>
      <c r="F32" s="1334">
        <f t="shared" si="5"/>
        <v>-1.6357688113413316E-2</v>
      </c>
      <c r="G32" s="1334">
        <f t="shared" si="5"/>
        <v>-1.8949181739879029E-3</v>
      </c>
      <c r="H32" s="1334">
        <f t="shared" si="5"/>
        <v>1.6260162601633432E-4</v>
      </c>
      <c r="I32" s="1334">
        <f t="shared" si="5"/>
        <v>5.4536011080332347E-2</v>
      </c>
      <c r="J32" s="1334">
        <f t="shared" si="5"/>
        <v>4.3935411190386908E-2</v>
      </c>
      <c r="K32" s="1334">
        <f t="shared" si="5"/>
        <v>-4.6908643494309454E-2</v>
      </c>
      <c r="L32" s="1334">
        <f t="shared" si="5"/>
        <v>3.0000000000000027E-2</v>
      </c>
      <c r="M32" s="1334">
        <f t="shared" si="5"/>
        <v>3.0000000000000027E-2</v>
      </c>
      <c r="N32" s="2182"/>
    </row>
    <row r="33" spans="1:14" ht="15.6" hidden="1">
      <c r="B33" s="1140" t="s">
        <v>909</v>
      </c>
      <c r="C33" s="1345">
        <f>C48+C48*C32</f>
        <v>45.131220800325003</v>
      </c>
      <c r="D33" s="1142">
        <f t="shared" ref="D33:M33" si="6">D48+D48*D32</f>
        <v>58.563624138510669</v>
      </c>
      <c r="E33" s="1142">
        <f t="shared" si="6"/>
        <v>62.74524584546856</v>
      </c>
      <c r="F33" s="1142">
        <f t="shared" si="6"/>
        <v>57.051254089422031</v>
      </c>
      <c r="G33" s="1142">
        <f t="shared" si="6"/>
        <v>52.89956933677864</v>
      </c>
      <c r="H33" s="1142">
        <f t="shared" si="6"/>
        <v>61.009918699186997</v>
      </c>
      <c r="I33" s="1142">
        <f t="shared" si="6"/>
        <v>57.999480609418278</v>
      </c>
      <c r="J33" s="1142">
        <f t="shared" si="6"/>
        <v>55.328576793090505</v>
      </c>
      <c r="K33" s="1142">
        <f t="shared" si="6"/>
        <v>53.373115964318671</v>
      </c>
      <c r="L33" s="1142">
        <f t="shared" si="6"/>
        <v>63.86</v>
      </c>
      <c r="M33" s="1142">
        <f t="shared" si="6"/>
        <v>60.77</v>
      </c>
      <c r="N33" s="3855">
        <v>38.6</v>
      </c>
    </row>
    <row r="34" spans="1:14" ht="15.6">
      <c r="B34" s="1138" t="s">
        <v>1010</v>
      </c>
      <c r="C34" s="1346">
        <f>C49</f>
        <v>46.629727594339634</v>
      </c>
      <c r="D34" s="1139">
        <f t="shared" ref="D34:M34" si="7">D49</f>
        <v>51.933741745283008</v>
      </c>
      <c r="E34" s="1139">
        <f t="shared" si="7"/>
        <v>53.491753997641496</v>
      </c>
      <c r="F34" s="1139">
        <f t="shared" si="7"/>
        <v>55.096506617570739</v>
      </c>
      <c r="G34" s="1139">
        <f t="shared" si="7"/>
        <v>56.749401816097858</v>
      </c>
      <c r="H34" s="1139">
        <f t="shared" si="7"/>
        <v>58.451883870580794</v>
      </c>
      <c r="I34" s="1139">
        <f t="shared" si="7"/>
        <v>55.01</v>
      </c>
      <c r="J34" s="1139">
        <f t="shared" si="7"/>
        <v>62.01160359829916</v>
      </c>
      <c r="K34" s="1139">
        <f t="shared" si="7"/>
        <v>63.871951706248133</v>
      </c>
      <c r="L34" s="1139">
        <f t="shared" si="7"/>
        <v>65.788110257435577</v>
      </c>
      <c r="M34" s="1139">
        <f t="shared" si="7"/>
        <v>67.761753565158642</v>
      </c>
      <c r="N34" s="3856">
        <f>AVERAGE(C34:M34)</f>
        <v>57.890584978968633</v>
      </c>
    </row>
    <row r="35" spans="1:14" ht="15.6" hidden="1">
      <c r="B35" s="1140" t="s">
        <v>910</v>
      </c>
      <c r="C35" s="1345">
        <f>C50+C50*C32</f>
        <v>26.239081860654075</v>
      </c>
      <c r="D35" s="1142">
        <f t="shared" ref="D35:M35" si="8">D50+D50*D32</f>
        <v>21.837283577071773</v>
      </c>
      <c r="E35" s="1142">
        <f t="shared" si="8"/>
        <v>30.858317628918964</v>
      </c>
      <c r="F35" s="1142">
        <f t="shared" si="8"/>
        <v>24.591057797164666</v>
      </c>
      <c r="G35" s="1142">
        <f t="shared" si="8"/>
        <v>22.95641688199828</v>
      </c>
      <c r="H35" s="1142">
        <f t="shared" si="8"/>
        <v>31.005040650406507</v>
      </c>
      <c r="I35" s="1142">
        <f t="shared" si="8"/>
        <v>30.581544321329638</v>
      </c>
      <c r="J35" s="1142">
        <f t="shared" si="8"/>
        <v>27.142320690950058</v>
      </c>
      <c r="K35" s="1142">
        <f t="shared" si="8"/>
        <v>21.921101199630883</v>
      </c>
      <c r="L35" s="1142">
        <f t="shared" si="8"/>
        <v>33.99</v>
      </c>
      <c r="M35" s="1142">
        <f t="shared" si="8"/>
        <v>24.72</v>
      </c>
      <c r="N35" s="3855">
        <f>AVERAGE(C35:M35)</f>
        <v>26.894742237102253</v>
      </c>
    </row>
    <row r="36" spans="1:14" ht="16.2" thickBot="1">
      <c r="B36" s="1357" t="s">
        <v>1010</v>
      </c>
      <c r="C36" s="1347">
        <f>C51</f>
        <v>38.714876649746188</v>
      </c>
      <c r="D36" s="1147">
        <f t="shared" ref="D36:M36" si="9">D51</f>
        <v>38.873088832487319</v>
      </c>
      <c r="E36" s="1147">
        <f t="shared" si="9"/>
        <v>40.039281497461936</v>
      </c>
      <c r="F36" s="1147">
        <f t="shared" si="9"/>
        <v>41.24045994238579</v>
      </c>
      <c r="G36" s="1147">
        <f t="shared" si="9"/>
        <v>42.477673740657366</v>
      </c>
      <c r="H36" s="1147">
        <f t="shared" si="9"/>
        <v>43.752003952877089</v>
      </c>
      <c r="I36" s="1147">
        <f t="shared" si="9"/>
        <v>29.1</v>
      </c>
      <c r="J36" s="1147">
        <f t="shared" si="9"/>
        <v>46.416500993607301</v>
      </c>
      <c r="K36" s="1147">
        <f t="shared" si="9"/>
        <v>47.808996023415517</v>
      </c>
      <c r="L36" s="1147">
        <f t="shared" si="9"/>
        <v>49.243265904117983</v>
      </c>
      <c r="M36" s="1147">
        <f t="shared" si="9"/>
        <v>50.720563881241524</v>
      </c>
      <c r="N36" s="3857">
        <f>AVERAGE(C36:M36)</f>
        <v>42.580610128908916</v>
      </c>
    </row>
    <row r="37" spans="1:14" ht="15" thickBot="1">
      <c r="B37" s="3858"/>
      <c r="C37" s="1132">
        <f>C27/C43-1</f>
        <v>3.9194831242616912E-2</v>
      </c>
      <c r="D37" s="1133">
        <f t="shared" ref="D37:M37" si="10">IF((D27/D43-1)=-100%,"",D27/D43-1)</f>
        <v>-5.7583203938104122E-3</v>
      </c>
      <c r="E37" s="1133">
        <f t="shared" si="10"/>
        <v>2.3048989337986381E-2</v>
      </c>
      <c r="F37" s="1133">
        <f t="shared" si="10"/>
        <v>-1.2501664154940806E-2</v>
      </c>
      <c r="G37" s="1133">
        <f t="shared" si="10"/>
        <v>-1.490460821741979E-3</v>
      </c>
      <c r="H37" s="1133">
        <f t="shared" si="10"/>
        <v>1.3109589223980755E-4</v>
      </c>
      <c r="I37" s="1133">
        <f t="shared" si="10"/>
        <v>4.3852578221597938E-2</v>
      </c>
      <c r="J37" s="1133">
        <f t="shared" si="10"/>
        <v>3.5527041904926726E-2</v>
      </c>
      <c r="K37" s="1133">
        <f t="shared" si="10"/>
        <v>-3.6576343165166225E-2</v>
      </c>
      <c r="L37" s="1133">
        <f t="shared" si="10"/>
        <v>2.4197660039950719E-2</v>
      </c>
      <c r="M37" s="1133">
        <f t="shared" si="10"/>
        <v>3.4209525749397507E-2</v>
      </c>
      <c r="N37" s="2186">
        <f>IF((N27/N43-1)=-100%,"",N27/N43-1)</f>
        <v>-6.1759925702343788E-3</v>
      </c>
    </row>
    <row r="38" spans="1:14">
      <c r="B38" s="3859"/>
      <c r="C38" s="3859"/>
      <c r="D38" s="3859"/>
      <c r="E38" s="3859"/>
      <c r="F38" s="3859"/>
      <c r="G38" s="3859"/>
      <c r="H38" s="3859"/>
      <c r="I38" s="3859"/>
      <c r="J38" s="3859"/>
      <c r="K38" s="3859"/>
      <c r="L38" s="3859"/>
      <c r="M38" s="3859"/>
      <c r="N38" s="3859"/>
    </row>
    <row r="39" spans="1:14" hidden="1">
      <c r="A39" s="3860"/>
      <c r="B39" s="3845"/>
      <c r="C39" s="1376" t="s">
        <v>1063</v>
      </c>
      <c r="D39" s="848"/>
      <c r="E39" s="848" t="s">
        <v>33</v>
      </c>
      <c r="F39" s="848"/>
      <c r="G39" s="848"/>
      <c r="H39" s="848"/>
      <c r="I39" s="848"/>
      <c r="J39" s="848"/>
      <c r="K39" s="848"/>
      <c r="L39" s="848"/>
      <c r="M39" s="848"/>
      <c r="N39" s="849"/>
    </row>
    <row r="40" spans="1:14" hidden="1">
      <c r="A40" s="2158"/>
      <c r="B40" s="3846"/>
      <c r="C40" s="1377" t="s">
        <v>36</v>
      </c>
      <c r="D40" s="1078" t="s">
        <v>187</v>
      </c>
      <c r="E40" s="1078" t="s">
        <v>546</v>
      </c>
      <c r="F40" s="1078" t="s">
        <v>188</v>
      </c>
      <c r="G40" s="1078" t="s">
        <v>189</v>
      </c>
      <c r="H40" s="1078" t="s">
        <v>180</v>
      </c>
      <c r="I40" s="1078" t="s">
        <v>42</v>
      </c>
      <c r="J40" s="1078" t="s">
        <v>43</v>
      </c>
      <c r="K40" s="1078" t="s">
        <v>44</v>
      </c>
      <c r="L40" s="1078" t="s">
        <v>45</v>
      </c>
      <c r="M40" s="1078" t="s">
        <v>46</v>
      </c>
      <c r="N40" s="1079" t="s">
        <v>47</v>
      </c>
    </row>
    <row r="41" spans="1:14" hidden="1">
      <c r="A41" s="3835"/>
      <c r="B41" s="3846"/>
      <c r="C41" s="1378" t="s">
        <v>855</v>
      </c>
      <c r="D41" s="1101"/>
      <c r="E41" s="1101"/>
      <c r="F41" s="1101"/>
      <c r="G41" s="1101"/>
      <c r="H41" s="1101"/>
      <c r="I41" s="3861"/>
      <c r="J41" s="1101"/>
      <c r="K41" s="1101"/>
      <c r="L41" s="1101"/>
      <c r="M41" s="1102" t="s">
        <v>576</v>
      </c>
      <c r="N41" s="1351" t="s">
        <v>576</v>
      </c>
    </row>
    <row r="42" spans="1:14" ht="16.2" hidden="1" thickBot="1">
      <c r="A42" s="3835"/>
      <c r="B42" s="1086" t="s">
        <v>1009</v>
      </c>
      <c r="C42" s="1363">
        <v>46.618800113787223</v>
      </c>
      <c r="D42" s="1100">
        <v>51.312205196282946</v>
      </c>
      <c r="E42" s="1100">
        <v>51.808999999999997</v>
      </c>
      <c r="F42" s="1100">
        <v>49.542999999999999</v>
      </c>
      <c r="G42" s="1100">
        <v>46.179853508282172</v>
      </c>
      <c r="H42" s="1100">
        <v>50.758921421924441</v>
      </c>
      <c r="I42" s="1100">
        <v>51</v>
      </c>
      <c r="J42" s="1100">
        <v>47.870106320491338</v>
      </c>
      <c r="K42" s="1100">
        <v>50.718187442769405</v>
      </c>
      <c r="L42" s="1100">
        <v>62.636029441860465</v>
      </c>
      <c r="M42" s="1104">
        <v>51.379586424716173</v>
      </c>
      <c r="N42" s="1105">
        <v>42.539779832495817</v>
      </c>
    </row>
    <row r="43" spans="1:14" ht="16.2" hidden="1" thickBot="1">
      <c r="A43" s="3862"/>
      <c r="B43" s="1143" t="s">
        <v>858</v>
      </c>
      <c r="C43" s="1380">
        <f t="shared" ref="C43:N43" si="11">AVERAGE(C44,C48,C50)</f>
        <v>39.038333333333334</v>
      </c>
      <c r="D43" s="1144">
        <f t="shared" si="11"/>
        <v>47.414999999999999</v>
      </c>
      <c r="E43" s="1144">
        <f t="shared" si="11"/>
        <v>49.728333333333332</v>
      </c>
      <c r="F43" s="1144">
        <f t="shared" si="11"/>
        <v>50.198333333333331</v>
      </c>
      <c r="G43" s="1144">
        <f t="shared" si="11"/>
        <v>44.508333333333333</v>
      </c>
      <c r="H43" s="1144">
        <f t="shared" si="11"/>
        <v>50.75</v>
      </c>
      <c r="I43" s="1144">
        <f t="shared" si="11"/>
        <v>46.793333333333329</v>
      </c>
      <c r="J43" s="1144">
        <f t="shared" si="11"/>
        <v>43.543333333333329</v>
      </c>
      <c r="K43" s="1144">
        <f t="shared" si="11"/>
        <v>47.669999999999995</v>
      </c>
      <c r="L43" s="1144">
        <f t="shared" si="11"/>
        <v>52.564999999999998</v>
      </c>
      <c r="M43" s="1145">
        <f t="shared" si="11"/>
        <v>49.094999999999999</v>
      </c>
      <c r="N43" s="1146">
        <f t="shared" si="11"/>
        <v>35.891666666666666</v>
      </c>
    </row>
    <row r="44" spans="1:14" hidden="1">
      <c r="A44" s="3862"/>
      <c r="B44" s="1134" t="s">
        <v>913</v>
      </c>
      <c r="C44" s="1135">
        <f t="shared" ref="C44:N44" si="12">AVERAGE(C45:C46)</f>
        <v>49.114999999999995</v>
      </c>
      <c r="D44" s="1135">
        <f t="shared" si="12"/>
        <v>61.245000000000005</v>
      </c>
      <c r="E44" s="1135">
        <f t="shared" si="12"/>
        <v>58.185000000000002</v>
      </c>
      <c r="F44" s="1135">
        <f t="shared" si="12"/>
        <v>67.594999999999999</v>
      </c>
      <c r="G44" s="1135">
        <f t="shared" si="12"/>
        <v>57.524999999999999</v>
      </c>
      <c r="H44" s="1135">
        <f t="shared" si="12"/>
        <v>60.25</v>
      </c>
      <c r="I44" s="1135">
        <f t="shared" si="12"/>
        <v>56.379999999999995</v>
      </c>
      <c r="J44" s="1135">
        <f t="shared" si="12"/>
        <v>51.629999999999995</v>
      </c>
      <c r="K44" s="1135">
        <f t="shared" si="12"/>
        <v>64.009999999999991</v>
      </c>
      <c r="L44" s="1135">
        <f t="shared" si="12"/>
        <v>62.695</v>
      </c>
      <c r="M44" s="1135">
        <f t="shared" si="12"/>
        <v>64.284999999999997</v>
      </c>
      <c r="N44" s="1136">
        <f t="shared" si="12"/>
        <v>48.674999999999997</v>
      </c>
    </row>
    <row r="45" spans="1:14" ht="15.6" hidden="1">
      <c r="A45" s="3862"/>
      <c r="B45" s="1087" t="s">
        <v>907</v>
      </c>
      <c r="C45" s="1099">
        <v>49</v>
      </c>
      <c r="D45" s="1099">
        <v>63</v>
      </c>
      <c r="E45" s="1099">
        <v>58</v>
      </c>
      <c r="F45" s="1099">
        <v>71</v>
      </c>
      <c r="G45" s="1099">
        <v>57</v>
      </c>
      <c r="H45" s="1099">
        <v>59</v>
      </c>
      <c r="I45" s="1099">
        <v>55</v>
      </c>
      <c r="J45" s="1099">
        <v>50</v>
      </c>
      <c r="K45" s="1099">
        <v>63</v>
      </c>
      <c r="L45" s="1099">
        <v>61</v>
      </c>
      <c r="M45" s="1099">
        <v>62</v>
      </c>
      <c r="N45" s="1337">
        <v>52</v>
      </c>
    </row>
    <row r="46" spans="1:14" ht="15.6" hidden="1">
      <c r="A46" s="3862"/>
      <c r="B46" s="1088" t="s">
        <v>908</v>
      </c>
      <c r="C46" s="1089">
        <v>49.23</v>
      </c>
      <c r="D46" s="1089">
        <v>59.49</v>
      </c>
      <c r="E46" s="1090">
        <v>58.37</v>
      </c>
      <c r="F46" s="1090">
        <v>64.19</v>
      </c>
      <c r="G46" s="1090">
        <v>58.05</v>
      </c>
      <c r="H46" s="1090">
        <v>61.5</v>
      </c>
      <c r="I46" s="1090">
        <v>57.76</v>
      </c>
      <c r="J46" s="1090">
        <v>53.26</v>
      </c>
      <c r="K46" s="1090">
        <v>65.02</v>
      </c>
      <c r="L46" s="1090">
        <v>64.39</v>
      </c>
      <c r="M46" s="1090">
        <v>66.569999999999993</v>
      </c>
      <c r="N46" s="1327">
        <v>45.35</v>
      </c>
    </row>
    <row r="47" spans="1:14" hidden="1">
      <c r="A47" s="3863"/>
      <c r="B47" s="1091" t="s">
        <v>899</v>
      </c>
      <c r="C47" s="1092"/>
      <c r="D47" s="1093">
        <f t="shared" ref="D47:N47" si="13">IF((D46/D61-1)=-100%,"",D46/D61-1)</f>
        <v>4.3501140150850715E-2</v>
      </c>
      <c r="E47" s="1093">
        <f t="shared" si="13"/>
        <v>-1.1180755548026444E-2</v>
      </c>
      <c r="F47" s="1093">
        <f t="shared" si="13"/>
        <v>0.17392099487929769</v>
      </c>
      <c r="G47" s="1093">
        <f t="shared" si="13"/>
        <v>8.2013047530288929E-2</v>
      </c>
      <c r="H47" s="1093">
        <f t="shared" si="13"/>
        <v>4.2019654354455982E-2</v>
      </c>
      <c r="I47" s="1093">
        <f t="shared" si="13"/>
        <v>1.7797356828193722E-2</v>
      </c>
      <c r="J47" s="1093">
        <f t="shared" si="13"/>
        <v>-8.7474409082448634E-3</v>
      </c>
      <c r="K47" s="1093">
        <f t="shared" si="13"/>
        <v>0.14110214110214114</v>
      </c>
      <c r="L47" s="1093">
        <f t="shared" si="13"/>
        <v>0.11401384083044985</v>
      </c>
      <c r="M47" s="1093">
        <f t="shared" si="13"/>
        <v>3.7077426390403456E-2</v>
      </c>
      <c r="N47" s="1137">
        <f t="shared" si="13"/>
        <v>-3.0775994724114852E-3</v>
      </c>
    </row>
    <row r="48" spans="1:14" ht="15.6" hidden="1">
      <c r="A48" s="3863"/>
      <c r="B48" s="1140" t="s">
        <v>909</v>
      </c>
      <c r="C48" s="1141">
        <v>43</v>
      </c>
      <c r="D48" s="1141">
        <v>59</v>
      </c>
      <c r="E48" s="1141">
        <v>61</v>
      </c>
      <c r="F48" s="1141">
        <v>58</v>
      </c>
      <c r="G48" s="1141">
        <v>53</v>
      </c>
      <c r="H48" s="1141">
        <v>61</v>
      </c>
      <c r="I48" s="1141">
        <v>55</v>
      </c>
      <c r="J48" s="1141">
        <v>53</v>
      </c>
      <c r="K48" s="1141">
        <v>56</v>
      </c>
      <c r="L48" s="1141">
        <v>62</v>
      </c>
      <c r="M48" s="1141">
        <v>59</v>
      </c>
      <c r="N48" s="1338">
        <v>40</v>
      </c>
    </row>
    <row r="49" spans="1:14" ht="15.6" hidden="1">
      <c r="B49" s="1138" t="s">
        <v>1010</v>
      </c>
      <c r="C49" s="1355">
        <v>46.629727594339634</v>
      </c>
      <c r="D49" s="1355">
        <v>51.933741745283008</v>
      </c>
      <c r="E49" s="1355">
        <v>53.491753997641496</v>
      </c>
      <c r="F49" s="1355">
        <v>55.096506617570739</v>
      </c>
      <c r="G49" s="1355">
        <v>56.749401816097858</v>
      </c>
      <c r="H49" s="1355">
        <v>58.451883870580794</v>
      </c>
      <c r="I49" s="1355">
        <v>55.01</v>
      </c>
      <c r="J49" s="1355">
        <v>62.01160359829916</v>
      </c>
      <c r="K49" s="1355">
        <v>63.871951706248133</v>
      </c>
      <c r="L49" s="1355">
        <v>65.788110257435577</v>
      </c>
      <c r="M49" s="1355">
        <v>67.761753565158642</v>
      </c>
      <c r="N49" s="1356">
        <v>69.794606172113404</v>
      </c>
    </row>
    <row r="50" spans="1:14" ht="15.6" hidden="1">
      <c r="B50" s="1140" t="s">
        <v>910</v>
      </c>
      <c r="C50" s="1141">
        <v>25</v>
      </c>
      <c r="D50" s="1141">
        <v>22</v>
      </c>
      <c r="E50" s="1141">
        <v>30</v>
      </c>
      <c r="F50" s="1141">
        <v>25</v>
      </c>
      <c r="G50" s="1141">
        <v>23</v>
      </c>
      <c r="H50" s="1141">
        <v>31</v>
      </c>
      <c r="I50" s="1141">
        <v>29</v>
      </c>
      <c r="J50" s="1141">
        <v>26</v>
      </c>
      <c r="K50" s="1141">
        <v>23</v>
      </c>
      <c r="L50" s="1141">
        <v>33</v>
      </c>
      <c r="M50" s="1141">
        <v>24</v>
      </c>
      <c r="N50" s="1338">
        <v>19</v>
      </c>
    </row>
    <row r="51" spans="1:14" ht="16.2" hidden="1" thickBot="1">
      <c r="B51" s="1138" t="s">
        <v>1010</v>
      </c>
      <c r="C51" s="1360">
        <v>38.714876649746188</v>
      </c>
      <c r="D51" s="1360">
        <v>38.873088832487319</v>
      </c>
      <c r="E51" s="1360">
        <v>40.039281497461936</v>
      </c>
      <c r="F51" s="1360">
        <v>41.24045994238579</v>
      </c>
      <c r="G51" s="1360">
        <v>42.477673740657366</v>
      </c>
      <c r="H51" s="1360">
        <v>43.752003952877089</v>
      </c>
      <c r="I51" s="1360">
        <v>29.1</v>
      </c>
      <c r="J51" s="1360">
        <v>46.416500993607301</v>
      </c>
      <c r="K51" s="1360">
        <v>47.808996023415517</v>
      </c>
      <c r="L51" s="1360">
        <v>49.243265904117983</v>
      </c>
      <c r="M51" s="1360">
        <v>50.720563881241524</v>
      </c>
      <c r="N51" s="1361">
        <v>52.24218079767877</v>
      </c>
    </row>
    <row r="52" spans="1:14" ht="15" hidden="1" thickBot="1">
      <c r="B52" s="3858"/>
      <c r="C52" s="1132">
        <f>C43/C58-1</f>
        <v>-0.1374835209145242</v>
      </c>
      <c r="D52" s="1133">
        <f t="shared" ref="D52:N52" si="14">IF((D43/D58-1)=-100%,"",D43/D58-1)</f>
        <v>-4.8229367395463574E-2</v>
      </c>
      <c r="E52" s="1133">
        <f t="shared" si="14"/>
        <v>-1.1365142478462542E-2</v>
      </c>
      <c r="F52" s="1133">
        <f t="shared" si="14"/>
        <v>4.3624393624393631E-2</v>
      </c>
      <c r="G52" s="1133">
        <f t="shared" si="14"/>
        <v>4.0522111825443297E-2</v>
      </c>
      <c r="H52" s="1133">
        <f t="shared" si="14"/>
        <v>9.9198613818497039E-2</v>
      </c>
      <c r="I52" s="1133">
        <f t="shared" si="14"/>
        <v>5.648165569143937E-2</v>
      </c>
      <c r="J52" s="1133">
        <f t="shared" si="14"/>
        <v>-3.1401772142513051E-2</v>
      </c>
      <c r="K52" s="1133">
        <f t="shared" si="14"/>
        <v>7.1316203460933147E-2</v>
      </c>
      <c r="L52" s="1133">
        <f t="shared" si="14"/>
        <v>0.13941473988439301</v>
      </c>
      <c r="M52" s="1133">
        <f t="shared" si="14"/>
        <v>-4.7284841036256076E-2</v>
      </c>
      <c r="N52" s="1133">
        <f t="shared" si="14"/>
        <v>-6.5686146904420983E-2</v>
      </c>
    </row>
    <row r="53" spans="1:14" hidden="1">
      <c r="B53" s="3859"/>
      <c r="C53" s="3859"/>
      <c r="D53" s="3859"/>
      <c r="E53" s="3859"/>
      <c r="F53" s="3859"/>
      <c r="G53" s="3859"/>
      <c r="H53" s="3859"/>
      <c r="I53" s="3859"/>
      <c r="J53" s="3859"/>
      <c r="K53" s="3859"/>
      <c r="L53" s="3859"/>
      <c r="M53" s="3859"/>
      <c r="N53" s="3859"/>
    </row>
    <row r="54" spans="1:14" hidden="1">
      <c r="B54" s="3845"/>
      <c r="C54" s="558" t="s">
        <v>577</v>
      </c>
      <c r="D54" s="333"/>
      <c r="E54" s="333" t="s">
        <v>33</v>
      </c>
      <c r="F54" s="333"/>
      <c r="G54" s="333"/>
      <c r="H54" s="333"/>
      <c r="I54" s="333"/>
      <c r="J54" s="333"/>
      <c r="K54" s="333"/>
      <c r="L54" s="333"/>
      <c r="M54" s="333"/>
      <c r="N54" s="334"/>
    </row>
    <row r="55" spans="1:14" hidden="1">
      <c r="B55" s="3846"/>
      <c r="C55" s="338" t="s">
        <v>36</v>
      </c>
      <c r="D55" s="338" t="s">
        <v>187</v>
      </c>
      <c r="E55" s="338" t="s">
        <v>546</v>
      </c>
      <c r="F55" s="338" t="s">
        <v>188</v>
      </c>
      <c r="G55" s="338" t="s">
        <v>189</v>
      </c>
      <c r="H55" s="338" t="s">
        <v>180</v>
      </c>
      <c r="I55" s="338" t="s">
        <v>42</v>
      </c>
      <c r="J55" s="338" t="s">
        <v>43</v>
      </c>
      <c r="K55" s="338" t="s">
        <v>44</v>
      </c>
      <c r="L55" s="338" t="s">
        <v>45</v>
      </c>
      <c r="M55" s="338" t="s">
        <v>46</v>
      </c>
      <c r="N55" s="339" t="s">
        <v>47</v>
      </c>
    </row>
    <row r="56" spans="1:14" ht="69" hidden="1">
      <c r="B56" s="3846"/>
      <c r="C56" s="3864" t="s">
        <v>598</v>
      </c>
      <c r="D56" s="3864" t="s">
        <v>727</v>
      </c>
      <c r="E56" s="3864" t="s">
        <v>729</v>
      </c>
      <c r="F56" s="3864" t="s">
        <v>729</v>
      </c>
      <c r="G56" s="5664" t="s">
        <v>855</v>
      </c>
      <c r="H56" s="5664"/>
      <c r="I56" s="5664"/>
      <c r="J56" s="5664"/>
      <c r="K56" s="5664"/>
      <c r="L56" s="5664"/>
      <c r="M56" s="5664"/>
      <c r="N56" s="5665"/>
    </row>
    <row r="57" spans="1:14" ht="16.2" hidden="1" thickBot="1">
      <c r="B57" s="1086"/>
      <c r="C57" s="1363"/>
      <c r="D57" s="1100"/>
      <c r="E57" s="1100"/>
      <c r="F57" s="1100"/>
      <c r="G57" s="1100"/>
      <c r="H57" s="1100"/>
      <c r="I57" s="1100"/>
      <c r="J57" s="1100"/>
      <c r="K57" s="1100"/>
      <c r="L57" s="1100"/>
      <c r="M57" s="1100"/>
      <c r="N57" s="1364"/>
    </row>
    <row r="58" spans="1:14" ht="16.2" hidden="1" thickBot="1">
      <c r="B58" s="1086" t="s">
        <v>858</v>
      </c>
      <c r="C58" s="1363">
        <v>45.260970984259437</v>
      </c>
      <c r="D58" s="1100">
        <v>49.817674947847522</v>
      </c>
      <c r="E58" s="1100">
        <v>50.3</v>
      </c>
      <c r="F58" s="1100">
        <v>48.1</v>
      </c>
      <c r="G58" s="1100">
        <f t="shared" ref="G58:N58" si="15">AVERAGE(G59,G62,G64)</f>
        <v>42.774999999999999</v>
      </c>
      <c r="H58" s="1100">
        <f t="shared" si="15"/>
        <v>46.169999999999995</v>
      </c>
      <c r="I58" s="1100">
        <f t="shared" si="15"/>
        <v>44.291666666666664</v>
      </c>
      <c r="J58" s="1100">
        <f t="shared" si="15"/>
        <v>44.955000000000005</v>
      </c>
      <c r="K58" s="1100">
        <f t="shared" si="15"/>
        <v>44.49666666666667</v>
      </c>
      <c r="L58" s="1100">
        <f t="shared" si="15"/>
        <v>46.133333333333333</v>
      </c>
      <c r="M58" s="1100">
        <f t="shared" si="15"/>
        <v>51.531666666666666</v>
      </c>
      <c r="N58" s="1364">
        <f t="shared" si="15"/>
        <v>38.414999999999999</v>
      </c>
    </row>
    <row r="59" spans="1:14" hidden="1">
      <c r="B59" s="1106" t="s">
        <v>913</v>
      </c>
      <c r="C59" s="1365"/>
      <c r="D59" s="1107"/>
      <c r="E59" s="1107"/>
      <c r="F59" s="1107"/>
      <c r="G59" s="1107">
        <f>AVERAGE(G60:G61)</f>
        <v>55.325000000000003</v>
      </c>
      <c r="H59" s="1107">
        <f t="shared" ref="H59:N59" si="16">AVERAGE(H60:H61)</f>
        <v>57.510000000000005</v>
      </c>
      <c r="I59" s="1107">
        <f t="shared" si="16"/>
        <v>55.875</v>
      </c>
      <c r="J59" s="1107">
        <f t="shared" si="16"/>
        <v>48.864999999999995</v>
      </c>
      <c r="K59" s="1107">
        <f t="shared" si="16"/>
        <v>57.489999999999995</v>
      </c>
      <c r="L59" s="1107">
        <f t="shared" si="16"/>
        <v>56.4</v>
      </c>
      <c r="M59" s="1107">
        <f t="shared" si="16"/>
        <v>66.594999999999999</v>
      </c>
      <c r="N59" s="1366">
        <f t="shared" si="16"/>
        <v>48.245000000000005</v>
      </c>
    </row>
    <row r="60" spans="1:14" ht="15.6" hidden="1">
      <c r="B60" s="1087" t="s">
        <v>907</v>
      </c>
      <c r="C60" s="1367">
        <v>47</v>
      </c>
      <c r="D60" s="1099">
        <v>58</v>
      </c>
      <c r="E60" s="1099">
        <v>63</v>
      </c>
      <c r="F60" s="1099">
        <v>60</v>
      </c>
      <c r="G60" s="1099">
        <v>57</v>
      </c>
      <c r="H60" s="1099">
        <v>56</v>
      </c>
      <c r="I60" s="1099">
        <v>55</v>
      </c>
      <c r="J60" s="1099">
        <v>44</v>
      </c>
      <c r="K60" s="1099">
        <v>58</v>
      </c>
      <c r="L60" s="1099">
        <v>55</v>
      </c>
      <c r="M60" s="1099">
        <v>69</v>
      </c>
      <c r="N60" s="1337">
        <v>51</v>
      </c>
    </row>
    <row r="61" spans="1:14" ht="24.6" hidden="1">
      <c r="A61" s="3865" t="s">
        <v>1065</v>
      </c>
      <c r="B61" s="1095" t="s">
        <v>900</v>
      </c>
      <c r="C61" s="1368">
        <v>49.83</v>
      </c>
      <c r="D61" s="1096">
        <v>57.01</v>
      </c>
      <c r="E61" s="1090">
        <v>59.03</v>
      </c>
      <c r="F61" s="1090">
        <v>54.68</v>
      </c>
      <c r="G61" s="1090">
        <v>53.65</v>
      </c>
      <c r="H61" s="1090">
        <v>59.02</v>
      </c>
      <c r="I61" s="1090">
        <v>56.75</v>
      </c>
      <c r="J61" s="1090">
        <v>53.73</v>
      </c>
      <c r="K61" s="1090">
        <v>56.98</v>
      </c>
      <c r="L61" s="1090">
        <v>57.8</v>
      </c>
      <c r="M61" s="1090">
        <v>64.19</v>
      </c>
      <c r="N61" s="1327">
        <v>45.49</v>
      </c>
    </row>
    <row r="62" spans="1:14" ht="15.6" hidden="1">
      <c r="B62" s="1140" t="s">
        <v>911</v>
      </c>
      <c r="C62" s="1369">
        <v>39</v>
      </c>
      <c r="D62" s="1141">
        <v>52</v>
      </c>
      <c r="E62" s="1141">
        <v>55</v>
      </c>
      <c r="F62" s="1141">
        <v>51</v>
      </c>
      <c r="G62" s="1141">
        <v>48</v>
      </c>
      <c r="H62" s="1141">
        <v>54</v>
      </c>
      <c r="I62" s="1141">
        <v>48</v>
      </c>
      <c r="J62" s="1141">
        <v>55</v>
      </c>
      <c r="K62" s="1141">
        <v>48</v>
      </c>
      <c r="L62" s="1141">
        <v>57</v>
      </c>
      <c r="M62" s="1141">
        <v>58</v>
      </c>
      <c r="N62" s="1338">
        <v>43</v>
      </c>
    </row>
    <row r="63" spans="1:14" ht="15.6" hidden="1">
      <c r="B63" s="1138" t="s">
        <v>1010</v>
      </c>
      <c r="C63" s="1370">
        <v>45.271580188679259</v>
      </c>
      <c r="D63" s="1148">
        <v>50.421108490566027</v>
      </c>
      <c r="E63" s="1149">
        <v>51.933741745283008</v>
      </c>
      <c r="F63" s="1149">
        <v>53.491753997641496</v>
      </c>
      <c r="G63" s="1362">
        <v>55.096506617570739</v>
      </c>
      <c r="H63" s="1362">
        <v>56.749401816097858</v>
      </c>
      <c r="I63" s="1362">
        <v>58.451883870580794</v>
      </c>
      <c r="J63" s="1362">
        <v>60.205440386698214</v>
      </c>
      <c r="K63" s="1362">
        <v>62.01160359829916</v>
      </c>
      <c r="L63" s="1362">
        <v>63.871951706248133</v>
      </c>
      <c r="M63" s="1362">
        <v>65.788110257435577</v>
      </c>
      <c r="N63" s="1371">
        <v>67.761753565158642</v>
      </c>
    </row>
    <row r="64" spans="1:14" ht="15.6" hidden="1">
      <c r="A64" s="3865" t="s">
        <v>1065</v>
      </c>
      <c r="B64" s="1140" t="s">
        <v>912</v>
      </c>
      <c r="C64" s="1369">
        <v>26</v>
      </c>
      <c r="D64" s="1141">
        <v>27</v>
      </c>
      <c r="E64" s="1141">
        <v>28</v>
      </c>
      <c r="F64" s="1141">
        <v>32</v>
      </c>
      <c r="G64" s="1141">
        <v>25</v>
      </c>
      <c r="H64" s="1141">
        <v>27</v>
      </c>
      <c r="I64" s="1141">
        <v>29</v>
      </c>
      <c r="J64" s="1141">
        <v>31</v>
      </c>
      <c r="K64" s="1141">
        <v>28</v>
      </c>
      <c r="L64" s="1141">
        <v>25</v>
      </c>
      <c r="M64" s="1141">
        <v>30</v>
      </c>
      <c r="N64" s="1338">
        <v>24</v>
      </c>
    </row>
    <row r="65" spans="1:14" ht="16.2" hidden="1" thickBot="1">
      <c r="B65" s="1138" t="s">
        <v>1010</v>
      </c>
      <c r="C65" s="1372">
        <v>37.58725888324873</v>
      </c>
      <c r="D65" s="1373">
        <v>37.740862944162444</v>
      </c>
      <c r="E65" s="1374">
        <v>38.873088832487319</v>
      </c>
      <c r="F65" s="1374">
        <v>40.039281497461936</v>
      </c>
      <c r="G65" s="1374">
        <v>41.24045994238579</v>
      </c>
      <c r="H65" s="1374">
        <v>42.477673740657366</v>
      </c>
      <c r="I65" s="1374">
        <v>43.752003952877089</v>
      </c>
      <c r="J65" s="1374">
        <v>45.064564071463401</v>
      </c>
      <c r="K65" s="1374">
        <v>46.416500993607301</v>
      </c>
      <c r="L65" s="1374">
        <v>47.808996023415517</v>
      </c>
      <c r="M65" s="1374">
        <v>49.243265904117983</v>
      </c>
      <c r="N65" s="1375">
        <v>50.720563881241524</v>
      </c>
    </row>
    <row r="66" spans="1:14" ht="15" hidden="1" thickBot="1">
      <c r="A66" s="3865" t="s">
        <v>1065</v>
      </c>
      <c r="B66" s="3858"/>
      <c r="C66" s="853">
        <f>C58/C71-1</f>
        <v>2.538205966935525E-2</v>
      </c>
      <c r="D66" s="854">
        <f t="shared" ref="D66:N66" si="17">IF((D58/D71-1)=-100%,"",D58/D71-1)</f>
        <v>9.5278355054263963E-2</v>
      </c>
      <c r="E66" s="854">
        <f t="shared" si="17"/>
        <v>9.3419422076916003E-2</v>
      </c>
      <c r="F66" s="854">
        <f t="shared" si="17"/>
        <v>7.6163009310403984E-2</v>
      </c>
      <c r="G66" s="854">
        <f t="shared" si="17"/>
        <v>-1.7320453563992366E-2</v>
      </c>
      <c r="H66" s="854">
        <f t="shared" si="17"/>
        <v>-3.501194217962289E-2</v>
      </c>
      <c r="I66" s="854">
        <f t="shared" si="17"/>
        <v>-3.6265025257740668E-2</v>
      </c>
      <c r="J66" s="854">
        <f t="shared" si="17"/>
        <v>-3.7047509212532193E-3</v>
      </c>
      <c r="K66" s="854">
        <f t="shared" si="17"/>
        <v>-6.9238944709239081E-2</v>
      </c>
      <c r="L66" s="854">
        <f t="shared" si="17"/>
        <v>-0.2186150084950278</v>
      </c>
      <c r="M66" s="854">
        <f t="shared" si="17"/>
        <v>6.4040195161393143E-2</v>
      </c>
      <c r="N66" s="854">
        <f t="shared" si="17"/>
        <v>-4.1967926010092693E-2</v>
      </c>
    </row>
    <row r="67" spans="1:14" hidden="1">
      <c r="B67" s="3858"/>
      <c r="C67" s="855"/>
      <c r="D67" s="855"/>
      <c r="E67" s="855"/>
      <c r="F67" s="855"/>
      <c r="G67" s="3866"/>
      <c r="H67" s="1098"/>
      <c r="I67" s="1098"/>
      <c r="J67" s="855"/>
      <c r="K67" s="855"/>
      <c r="L67" s="855"/>
      <c r="M67" s="855"/>
      <c r="N67" s="855"/>
    </row>
    <row r="68" spans="1:14" hidden="1">
      <c r="B68" s="3825"/>
      <c r="C68" s="547" t="s">
        <v>531</v>
      </c>
      <c r="D68" s="548"/>
      <c r="E68" s="548" t="s">
        <v>33</v>
      </c>
      <c r="F68" s="548"/>
      <c r="G68" s="548"/>
      <c r="H68" s="548"/>
      <c r="I68" s="548"/>
      <c r="J68" s="548"/>
      <c r="K68" s="548"/>
      <c r="L68" s="548"/>
      <c r="M68" s="548"/>
      <c r="N68" s="551"/>
    </row>
    <row r="69" spans="1:14" hidden="1">
      <c r="B69" s="3830"/>
      <c r="C69" s="549" t="s">
        <v>36</v>
      </c>
      <c r="D69" s="550" t="s">
        <v>187</v>
      </c>
      <c r="E69" s="550" t="s">
        <v>546</v>
      </c>
      <c r="F69" s="550" t="s">
        <v>188</v>
      </c>
      <c r="G69" s="550" t="s">
        <v>189</v>
      </c>
      <c r="H69" s="550" t="s">
        <v>180</v>
      </c>
      <c r="I69" s="550" t="s">
        <v>42</v>
      </c>
      <c r="J69" s="550" t="s">
        <v>43</v>
      </c>
      <c r="K69" s="550" t="s">
        <v>44</v>
      </c>
      <c r="L69" s="550" t="s">
        <v>45</v>
      </c>
      <c r="M69" s="550" t="s">
        <v>46</v>
      </c>
      <c r="N69" s="552" t="s">
        <v>47</v>
      </c>
    </row>
    <row r="70" spans="1:14" hidden="1">
      <c r="B70" s="3835"/>
      <c r="C70" s="3867"/>
      <c r="D70" s="3867"/>
      <c r="E70" s="3867"/>
      <c r="F70" s="3867"/>
      <c r="G70" s="3867"/>
      <c r="H70" s="3867"/>
      <c r="I70" s="3867"/>
      <c r="J70" s="3867"/>
      <c r="K70" s="3867"/>
      <c r="L70" s="5661" t="s">
        <v>580</v>
      </c>
      <c r="M70" s="5661"/>
      <c r="N70" s="5661"/>
    </row>
    <row r="71" spans="1:14" ht="15" hidden="1" thickBot="1">
      <c r="B71" s="553" t="s">
        <v>151</v>
      </c>
      <c r="C71" s="856">
        <v>44.140591848129553</v>
      </c>
      <c r="D71" s="856">
        <v>45.484031267448337</v>
      </c>
      <c r="E71" s="856">
        <v>46.00247533966126</v>
      </c>
      <c r="F71" s="857">
        <v>44.69583100688628</v>
      </c>
      <c r="G71" s="857">
        <v>43.528941001302826</v>
      </c>
      <c r="H71" s="856">
        <v>47.845151684347663</v>
      </c>
      <c r="I71" s="856">
        <v>45.958347292015631</v>
      </c>
      <c r="J71" s="856">
        <v>45.12216638749301</v>
      </c>
      <c r="K71" s="856">
        <v>47.806756002233392</v>
      </c>
      <c r="L71" s="858">
        <v>59.040465116279073</v>
      </c>
      <c r="M71" s="856">
        <v>48.430187976921644</v>
      </c>
      <c r="N71" s="859">
        <v>40.097822445561143</v>
      </c>
    </row>
    <row r="72" spans="1:14" hidden="1">
      <c r="B72" s="555" t="s">
        <v>144</v>
      </c>
      <c r="C72" s="860">
        <v>51.558406561218504</v>
      </c>
      <c r="D72" s="860">
        <v>55.830990041007617</v>
      </c>
      <c r="E72" s="860">
        <v>54.512829525483305</v>
      </c>
      <c r="F72" s="860">
        <v>57.521675454012886</v>
      </c>
      <c r="G72" s="860">
        <v>57.359988283538371</v>
      </c>
      <c r="H72" s="860">
        <v>60.261921499707086</v>
      </c>
      <c r="I72" s="860">
        <v>53.324956063268885</v>
      </c>
      <c r="J72" s="860">
        <v>50.747275922671356</v>
      </c>
      <c r="K72" s="860">
        <v>57.149326303456355</v>
      </c>
      <c r="L72" s="860">
        <v>70.874985354422961</v>
      </c>
      <c r="M72" s="860">
        <v>62.512536613942586</v>
      </c>
      <c r="N72" s="861">
        <v>43.413708260105452</v>
      </c>
    </row>
    <row r="73" spans="1:14" hidden="1">
      <c r="B73" s="555" t="s">
        <v>145</v>
      </c>
      <c r="C73" s="860">
        <v>43.926650943396218</v>
      </c>
      <c r="D73" s="860">
        <v>44.932134433962268</v>
      </c>
      <c r="E73" s="860">
        <v>46.1502358490566</v>
      </c>
      <c r="F73" s="860">
        <v>45.307488207547166</v>
      </c>
      <c r="G73" s="860">
        <v>43.315271226415092</v>
      </c>
      <c r="H73" s="860">
        <v>50.526709905660375</v>
      </c>
      <c r="I73" s="860">
        <v>51.207429245283016</v>
      </c>
      <c r="J73" s="860">
        <v>51.081014150943389</v>
      </c>
      <c r="K73" s="860">
        <v>48.948761792452828</v>
      </c>
      <c r="L73" s="860">
        <v>62.996937573616016</v>
      </c>
      <c r="M73" s="860">
        <v>48.532783018867924</v>
      </c>
      <c r="N73" s="861">
        <v>42.145990566037732</v>
      </c>
    </row>
    <row r="74" spans="1:14" ht="15" hidden="1" thickBot="1">
      <c r="B74" s="556" t="s">
        <v>566</v>
      </c>
      <c r="C74" s="862">
        <v>37.897258883248718</v>
      </c>
      <c r="D74" s="862">
        <v>36.99355329949239</v>
      </c>
      <c r="E74" s="862">
        <v>38.501065989847724</v>
      </c>
      <c r="F74" s="862">
        <v>33.05568527918782</v>
      </c>
      <c r="G74" s="862">
        <v>31.728324873096447</v>
      </c>
      <c r="H74" s="862">
        <v>34.777461928934009</v>
      </c>
      <c r="I74" s="862">
        <v>35.056192893401018</v>
      </c>
      <c r="J74" s="862">
        <v>35.117969543147211</v>
      </c>
      <c r="K74" s="862">
        <v>38.728274111675127</v>
      </c>
      <c r="L74" s="862">
        <v>45.375685279187806</v>
      </c>
      <c r="M74" s="862">
        <v>36.139543147208123</v>
      </c>
      <c r="N74" s="863">
        <v>35.461319796954314</v>
      </c>
    </row>
    <row r="75" spans="1:14" ht="15" hidden="1" thickBot="1">
      <c r="B75" s="3841"/>
      <c r="C75" s="865">
        <f t="shared" ref="C75:N75" si="18">C71/C87-1</f>
        <v>-0.17327766995714788</v>
      </c>
      <c r="D75" s="866">
        <f t="shared" si="18"/>
        <v>-0.29142710384735693</v>
      </c>
      <c r="E75" s="866">
        <f t="shared" si="18"/>
        <v>-0.23201209783537124</v>
      </c>
      <c r="F75" s="866">
        <f t="shared" si="18"/>
        <v>-0.2343940557602413</v>
      </c>
      <c r="G75" s="866">
        <f t="shared" si="18"/>
        <v>-0.29050188469512439</v>
      </c>
      <c r="H75" s="866">
        <f t="shared" si="18"/>
        <v>-0.22832383997511552</v>
      </c>
      <c r="I75" s="866">
        <f t="shared" si="18"/>
        <v>-0.25513213465128637</v>
      </c>
      <c r="J75" s="866">
        <f t="shared" si="18"/>
        <v>-0.27297261490921521</v>
      </c>
      <c r="K75" s="866">
        <f t="shared" si="18"/>
        <v>-0.23174217742631897</v>
      </c>
      <c r="L75" s="866">
        <f t="shared" si="18"/>
        <v>-6.3222977996115981E-2</v>
      </c>
      <c r="M75" s="866">
        <f t="shared" si="18"/>
        <v>-0.27203195208006881</v>
      </c>
      <c r="N75" s="866">
        <f t="shared" si="18"/>
        <v>-0.30860506510162089</v>
      </c>
    </row>
    <row r="76" spans="1:14" hidden="1">
      <c r="A76" s="3865" t="s">
        <v>1065</v>
      </c>
      <c r="C76" s="166" t="s">
        <v>315</v>
      </c>
      <c r="D76" s="167"/>
      <c r="E76" s="167" t="s">
        <v>33</v>
      </c>
      <c r="F76" s="167"/>
      <c r="G76" s="167"/>
      <c r="H76" s="167"/>
      <c r="I76" s="167"/>
      <c r="J76" s="167"/>
      <c r="K76" s="167"/>
      <c r="L76" s="167"/>
      <c r="M76" s="167"/>
      <c r="N76" s="168"/>
    </row>
    <row r="77" spans="1:14" hidden="1">
      <c r="C77" s="466" t="s">
        <v>36</v>
      </c>
      <c r="D77" s="3843" t="s">
        <v>37</v>
      </c>
      <c r="E77" s="3843" t="s">
        <v>38</v>
      </c>
      <c r="F77" s="3843" t="s">
        <v>39</v>
      </c>
      <c r="G77" s="3843" t="s">
        <v>40</v>
      </c>
      <c r="H77" s="3843" t="s">
        <v>41</v>
      </c>
      <c r="I77" s="3843" t="s">
        <v>42</v>
      </c>
      <c r="J77" s="3843" t="s">
        <v>43</v>
      </c>
      <c r="K77" s="3843" t="s">
        <v>44</v>
      </c>
      <c r="L77" s="3843" t="s">
        <v>45</v>
      </c>
      <c r="M77" s="3843" t="s">
        <v>46</v>
      </c>
      <c r="N77" s="3843" t="s">
        <v>47</v>
      </c>
    </row>
    <row r="78" spans="1:14" ht="15" hidden="1" thickBot="1">
      <c r="A78" s="3865" t="s">
        <v>1065</v>
      </c>
      <c r="B78" s="335" t="s">
        <v>151</v>
      </c>
      <c r="C78" s="867">
        <v>51.627660052414825</v>
      </c>
      <c r="D78" s="868">
        <v>51.647940846125053</v>
      </c>
      <c r="E78" s="869">
        <v>57.482497192062887</v>
      </c>
      <c r="F78" s="869">
        <v>53.048152377386764</v>
      </c>
      <c r="G78" s="869">
        <v>54.241388992886556</v>
      </c>
      <c r="H78" s="868">
        <v>55.588920082350739</v>
      </c>
      <c r="I78" s="869">
        <v>54.83994010855325</v>
      </c>
      <c r="J78" s="870">
        <v>48.290715777482454</v>
      </c>
      <c r="K78" s="870">
        <v>50.944218720334156</v>
      </c>
      <c r="L78" s="869">
        <v>54.332618188722243</v>
      </c>
      <c r="M78" s="869">
        <v>55.251518602885348</v>
      </c>
      <c r="N78" s="869">
        <v>44.372454976303317</v>
      </c>
    </row>
    <row r="79" spans="1:14" hidden="1">
      <c r="B79" s="336" t="s">
        <v>144</v>
      </c>
      <c r="C79" s="871">
        <v>63.923164713140032</v>
      </c>
      <c r="D79" s="872">
        <v>69.016594694632943</v>
      </c>
      <c r="E79" s="873">
        <v>71.136952498457745</v>
      </c>
      <c r="F79" s="873">
        <v>64.16826650215917</v>
      </c>
      <c r="G79" s="873">
        <v>68.897038864898207</v>
      </c>
      <c r="H79" s="872">
        <v>66.700678593460822</v>
      </c>
      <c r="I79" s="874">
        <v>65.777606415792718</v>
      </c>
      <c r="J79" s="874">
        <v>57.994040968342652</v>
      </c>
      <c r="K79" s="874">
        <v>58.905462445685906</v>
      </c>
      <c r="L79" s="874">
        <v>68.051769087523269</v>
      </c>
      <c r="M79" s="874">
        <v>72.682805710738677</v>
      </c>
      <c r="N79" s="874">
        <v>51.006587942821618</v>
      </c>
    </row>
    <row r="80" spans="1:14" hidden="1">
      <c r="A80" s="3865" t="s">
        <v>1065</v>
      </c>
      <c r="B80" s="336" t="s">
        <v>145</v>
      </c>
      <c r="C80" s="871">
        <v>53.596954545454537</v>
      </c>
      <c r="D80" s="872">
        <v>50.203693181818188</v>
      </c>
      <c r="E80" s="873">
        <v>60.320170454545455</v>
      </c>
      <c r="F80" s="873">
        <v>55.937823863636353</v>
      </c>
      <c r="G80" s="873">
        <v>55.730965909090912</v>
      </c>
      <c r="H80" s="872">
        <v>60.893838326738269</v>
      </c>
      <c r="I80" s="874">
        <v>62.101921989824746</v>
      </c>
      <c r="J80" s="874">
        <v>52.804610951008648</v>
      </c>
      <c r="K80" s="874">
        <v>54.020057636887607</v>
      </c>
      <c r="L80" s="874">
        <v>56.422363112391928</v>
      </c>
      <c r="M80" s="874">
        <v>55.888888888888886</v>
      </c>
      <c r="N80" s="874">
        <v>46.219026047565109</v>
      </c>
    </row>
    <row r="81" spans="2:14" ht="15" hidden="1" thickBot="1">
      <c r="B81" s="468" t="s">
        <v>566</v>
      </c>
      <c r="C81" s="875">
        <v>39.696517083120852</v>
      </c>
      <c r="D81" s="876">
        <v>38.586894441611427</v>
      </c>
      <c r="E81" s="877">
        <v>43.64864864864866</v>
      </c>
      <c r="F81" s="877">
        <v>41.262570117287098</v>
      </c>
      <c r="G81" s="877">
        <v>40.789852116267213</v>
      </c>
      <c r="H81" s="876">
        <v>41.560983102918584</v>
      </c>
      <c r="I81" s="878">
        <v>39.183819764464921</v>
      </c>
      <c r="J81" s="878">
        <v>36.076418532014564</v>
      </c>
      <c r="K81" s="878">
        <v>41.489692868297759</v>
      </c>
      <c r="L81" s="878">
        <v>40.939979177511702</v>
      </c>
      <c r="M81" s="878">
        <v>39.823032223983098</v>
      </c>
      <c r="N81" s="878">
        <v>37.038052631578942</v>
      </c>
    </row>
    <row r="82" spans="2:14" ht="15" hidden="1" thickBot="1">
      <c r="B82" s="3844"/>
      <c r="C82" s="865">
        <f t="shared" ref="C82:N82" si="19">C78/C94-1</f>
        <v>-1.8790759984439354E-2</v>
      </c>
      <c r="D82" s="866">
        <f t="shared" si="19"/>
        <v>-0.11925039936124726</v>
      </c>
      <c r="E82" s="866">
        <f t="shared" si="19"/>
        <v>-7.9692211064975371E-2</v>
      </c>
      <c r="F82" s="866">
        <f t="shared" si="19"/>
        <v>-9.2501792800918636E-2</v>
      </c>
      <c r="G82" s="866">
        <f t="shared" si="19"/>
        <v>-9.7846498197794674E-2</v>
      </c>
      <c r="H82" s="866">
        <f t="shared" si="19"/>
        <v>-0.12787335023390345</v>
      </c>
      <c r="I82" s="866">
        <f t="shared" si="19"/>
        <v>-0.16538248179334591</v>
      </c>
      <c r="J82" s="866">
        <f t="shared" si="19"/>
        <v>-0.24692790146461496</v>
      </c>
      <c r="K82" s="866">
        <f t="shared" si="19"/>
        <v>-0.25421836470546555</v>
      </c>
      <c r="L82" s="866">
        <f t="shared" si="19"/>
        <v>-0.15181671961766163</v>
      </c>
      <c r="M82" s="866">
        <f t="shared" si="19"/>
        <v>-0.18058601020491949</v>
      </c>
      <c r="N82" s="866">
        <f t="shared" si="19"/>
        <v>-0.13451746235589235</v>
      </c>
    </row>
    <row r="83" spans="2:14" hidden="1">
      <c r="B83" s="3868"/>
      <c r="C83" s="181" t="s">
        <v>316</v>
      </c>
      <c r="D83" s="182"/>
      <c r="E83" s="182" t="s">
        <v>33</v>
      </c>
      <c r="F83" s="182"/>
      <c r="G83" s="182"/>
      <c r="H83" s="182"/>
      <c r="I83" s="182"/>
      <c r="J83" s="182"/>
      <c r="K83" s="182"/>
      <c r="L83" s="182"/>
      <c r="M83" s="182"/>
      <c r="N83" s="183"/>
    </row>
    <row r="84" spans="2:14" hidden="1">
      <c r="B84" s="3868"/>
      <c r="C84" s="187" t="s">
        <v>36</v>
      </c>
      <c r="D84" s="188" t="s">
        <v>37</v>
      </c>
      <c r="E84" s="188" t="s">
        <v>38</v>
      </c>
      <c r="F84" s="188" t="s">
        <v>39</v>
      </c>
      <c r="G84" s="188" t="s">
        <v>40</v>
      </c>
      <c r="H84" s="188" t="s">
        <v>41</v>
      </c>
      <c r="I84" s="188" t="s">
        <v>42</v>
      </c>
      <c r="J84" s="188" t="s">
        <v>43</v>
      </c>
      <c r="K84" s="188" t="s">
        <v>44</v>
      </c>
      <c r="L84" s="188" t="s">
        <v>45</v>
      </c>
      <c r="M84" s="188" t="s">
        <v>46</v>
      </c>
      <c r="N84" s="189" t="s">
        <v>47</v>
      </c>
    </row>
    <row r="85" spans="2:14" ht="15" hidden="1" thickBot="1">
      <c r="B85" s="190" t="s">
        <v>151</v>
      </c>
      <c r="C85" s="881">
        <v>51.883923850303461</v>
      </c>
      <c r="D85" s="882">
        <v>60.943820524320813</v>
      </c>
      <c r="E85" s="882">
        <v>57.5</v>
      </c>
      <c r="F85" s="882">
        <v>54.264872468117026</v>
      </c>
      <c r="G85" s="882">
        <v>55.715435108777179</v>
      </c>
      <c r="H85" s="882">
        <v>56.167516879219804</v>
      </c>
      <c r="I85" s="882">
        <v>57.6</v>
      </c>
      <c r="J85" s="882">
        <v>55.727789236827292</v>
      </c>
      <c r="K85" s="882">
        <v>60.140119872635324</v>
      </c>
      <c r="L85" s="882">
        <v>58.802678404195518</v>
      </c>
      <c r="M85" s="882">
        <v>63.233126169973787</v>
      </c>
      <c r="N85" s="883">
        <v>50.994687383002628</v>
      </c>
    </row>
    <row r="86" spans="2:14" hidden="1">
      <c r="B86" s="191" t="s">
        <v>144</v>
      </c>
      <c r="C86" s="884">
        <v>63.479333746132014</v>
      </c>
      <c r="D86" s="885">
        <v>80.314179959259718</v>
      </c>
      <c r="E86" s="885">
        <v>73.400000000000006</v>
      </c>
      <c r="F86" s="885">
        <v>71.880259099321407</v>
      </c>
      <c r="G86" s="885">
        <v>71.210055521283152</v>
      </c>
      <c r="H86" s="885">
        <v>70.879333744602093</v>
      </c>
      <c r="I86" s="885">
        <v>73.7</v>
      </c>
      <c r="J86" s="885">
        <v>67.403269586674895</v>
      </c>
      <c r="K86" s="885">
        <v>79.765638494756317</v>
      </c>
      <c r="L86" s="885">
        <v>74.366440468846392</v>
      </c>
      <c r="M86" s="885">
        <v>80.694768661320168</v>
      </c>
      <c r="N86" s="886">
        <v>56.046434299814933</v>
      </c>
    </row>
    <row r="87" spans="2:14" hidden="1">
      <c r="B87" s="191" t="s">
        <v>145</v>
      </c>
      <c r="C87" s="887">
        <v>53.392282080782287</v>
      </c>
      <c r="D87" s="888">
        <v>64.191040208303448</v>
      </c>
      <c r="E87" s="888">
        <v>59.9</v>
      </c>
      <c r="F87" s="888">
        <v>58.379681274900399</v>
      </c>
      <c r="G87" s="888">
        <v>61.351735913488902</v>
      </c>
      <c r="H87" s="888">
        <v>62.00159362549801</v>
      </c>
      <c r="I87" s="888">
        <v>61.7</v>
      </c>
      <c r="J87" s="888">
        <v>62.063915765509371</v>
      </c>
      <c r="K87" s="888">
        <v>62.227490039840639</v>
      </c>
      <c r="L87" s="888">
        <v>63.025099601593645</v>
      </c>
      <c r="M87" s="888">
        <v>66.527903409090911</v>
      </c>
      <c r="N87" s="889">
        <v>57.995539772727291</v>
      </c>
    </row>
    <row r="88" spans="2:14" ht="15" hidden="1" thickBot="1">
      <c r="B88" s="192" t="s">
        <v>146</v>
      </c>
      <c r="C88" s="890">
        <v>41.007288296211755</v>
      </c>
      <c r="D88" s="891">
        <v>42.120784483927054</v>
      </c>
      <c r="E88" s="891">
        <v>42.3</v>
      </c>
      <c r="F88" s="891">
        <v>35.951535312180141</v>
      </c>
      <c r="G88" s="891">
        <v>37.793346980552712</v>
      </c>
      <c r="H88" s="891">
        <v>38.716990788126921</v>
      </c>
      <c r="I88" s="891">
        <v>40.700000000000003</v>
      </c>
      <c r="J88" s="891">
        <v>40.352583120204606</v>
      </c>
      <c r="K88" s="891">
        <v>42.047067822539518</v>
      </c>
      <c r="L88" s="891">
        <v>42.154207037225916</v>
      </c>
      <c r="M88" s="891">
        <v>45.841932687404395</v>
      </c>
      <c r="N88" s="892">
        <v>40.535543090260077</v>
      </c>
    </row>
    <row r="89" spans="2:14" hidden="1">
      <c r="B89" s="3844"/>
      <c r="C89" s="3841"/>
      <c r="D89" s="3841"/>
      <c r="E89" s="3869"/>
      <c r="F89" s="3869"/>
      <c r="G89" s="3869"/>
      <c r="H89" s="3870"/>
      <c r="I89" s="3871"/>
      <c r="J89" s="3871"/>
      <c r="K89" s="3869"/>
      <c r="L89" s="3869"/>
      <c r="M89" s="3869"/>
      <c r="N89" s="3869"/>
    </row>
    <row r="90" spans="2:14" hidden="1">
      <c r="B90" s="3868"/>
      <c r="C90" s="194" t="s">
        <v>317</v>
      </c>
      <c r="D90" s="195"/>
      <c r="E90" s="195" t="s">
        <v>33</v>
      </c>
      <c r="F90" s="195"/>
      <c r="G90" s="195"/>
      <c r="H90" s="195"/>
      <c r="I90" s="195"/>
      <c r="J90" s="195"/>
      <c r="K90" s="195"/>
      <c r="L90" s="195"/>
      <c r="M90" s="195"/>
      <c r="N90" s="196"/>
    </row>
    <row r="91" spans="2:14" hidden="1">
      <c r="B91" s="3868"/>
      <c r="C91" s="197" t="s">
        <v>36</v>
      </c>
      <c r="D91" s="3872" t="s">
        <v>37</v>
      </c>
      <c r="E91" s="3872" t="s">
        <v>38</v>
      </c>
      <c r="F91" s="3872" t="s">
        <v>39</v>
      </c>
      <c r="G91" s="3872" t="s">
        <v>40</v>
      </c>
      <c r="H91" s="3872" t="s">
        <v>41</v>
      </c>
      <c r="I91" s="3872" t="s">
        <v>42</v>
      </c>
      <c r="J91" s="3872" t="s">
        <v>43</v>
      </c>
      <c r="K91" s="3872" t="s">
        <v>44</v>
      </c>
      <c r="L91" s="3872" t="s">
        <v>45</v>
      </c>
      <c r="M91" s="3872" t="s">
        <v>46</v>
      </c>
      <c r="N91" s="199" t="s">
        <v>47</v>
      </c>
    </row>
    <row r="92" spans="2:14" ht="15" hidden="1" thickBot="1">
      <c r="B92" s="200" t="s">
        <v>151</v>
      </c>
      <c r="C92" s="895">
        <v>51.517990776187105</v>
      </c>
      <c r="D92" s="896">
        <v>58.807323381825718</v>
      </c>
      <c r="E92" s="896">
        <v>60.827928595939248</v>
      </c>
      <c r="F92" s="896">
        <v>57.747390920923969</v>
      </c>
      <c r="G92" s="896">
        <v>56.524014066944922</v>
      </c>
      <c r="H92" s="896">
        <v>59.499559914305905</v>
      </c>
      <c r="I92" s="896">
        <v>59.641522979405501</v>
      </c>
      <c r="J92" s="896">
        <v>56.017138599275704</v>
      </c>
      <c r="K92" s="896">
        <v>62.131768504782805</v>
      </c>
      <c r="L92" s="896">
        <v>60.530743713386741</v>
      </c>
      <c r="M92" s="896">
        <v>62.385742672503326</v>
      </c>
      <c r="N92" s="897">
        <v>50.787822701019572</v>
      </c>
    </row>
    <row r="93" spans="2:14" hidden="1">
      <c r="B93" s="201" t="s">
        <v>144</v>
      </c>
      <c r="C93" s="898">
        <v>64.50418897062923</v>
      </c>
      <c r="D93" s="899">
        <v>79.534238123954339</v>
      </c>
      <c r="E93" s="899">
        <v>80.095918488685996</v>
      </c>
      <c r="F93" s="899">
        <v>74.86119678988895</v>
      </c>
      <c r="G93" s="899">
        <v>71.329923784083903</v>
      </c>
      <c r="H93" s="899">
        <v>75.899650422911776</v>
      </c>
      <c r="I93" s="899">
        <v>74.261208733146219</v>
      </c>
      <c r="J93" s="899">
        <v>64.583789377809993</v>
      </c>
      <c r="K93" s="899">
        <v>76.216327368840211</v>
      </c>
      <c r="L93" s="899">
        <v>74.382599350024662</v>
      </c>
      <c r="M93" s="899">
        <v>77.569401601529918</v>
      </c>
      <c r="N93" s="900">
        <v>63.75793516548427</v>
      </c>
    </row>
    <row r="94" spans="2:14" hidden="1">
      <c r="B94" s="201" t="s">
        <v>145</v>
      </c>
      <c r="C94" s="901">
        <v>52.616361472091398</v>
      </c>
      <c r="D94" s="902">
        <v>58.640890451347381</v>
      </c>
      <c r="E94" s="902">
        <v>62.460078990074976</v>
      </c>
      <c r="F94" s="902">
        <v>58.455379808534857</v>
      </c>
      <c r="G94" s="902">
        <v>60.12434567346925</v>
      </c>
      <c r="H94" s="902">
        <v>63.739504001236092</v>
      </c>
      <c r="I94" s="902">
        <v>65.706672712056232</v>
      </c>
      <c r="J94" s="902">
        <v>64.124956788866328</v>
      </c>
      <c r="K94" s="902">
        <v>68.309832676711807</v>
      </c>
      <c r="L94" s="902">
        <v>64.057638773816137</v>
      </c>
      <c r="M94" s="902">
        <v>67.428087988469272</v>
      </c>
      <c r="N94" s="903">
        <v>51.26903553373549</v>
      </c>
    </row>
    <row r="95" spans="2:14" ht="15" hidden="1" thickBot="1">
      <c r="B95" s="202" t="s">
        <v>146</v>
      </c>
      <c r="C95" s="904">
        <v>39.904238977251275</v>
      </c>
      <c r="D95" s="905">
        <v>41.93081487895644</v>
      </c>
      <c r="E95" s="905">
        <v>43.594143216541021</v>
      </c>
      <c r="F95" s="905">
        <v>43.08172914547113</v>
      </c>
      <c r="G95" s="905">
        <v>41.252410366935145</v>
      </c>
      <c r="H95" s="905">
        <v>42.365754812563331</v>
      </c>
      <c r="I95" s="905">
        <v>42.391410922440727</v>
      </c>
      <c r="J95" s="905">
        <v>41.700166683293816</v>
      </c>
      <c r="K95" s="905">
        <v>45.016886186916913</v>
      </c>
      <c r="L95" s="905">
        <v>45.988168774617016</v>
      </c>
      <c r="M95" s="905">
        <v>45.388382303121588</v>
      </c>
      <c r="N95" s="906">
        <v>39.704873026600808</v>
      </c>
    </row>
    <row r="96" spans="2:14" hidden="1">
      <c r="C96" s="3869"/>
      <c r="D96" s="3869"/>
      <c r="E96" s="3869"/>
      <c r="F96" s="3869"/>
      <c r="G96" s="3869"/>
      <c r="H96" s="3873"/>
      <c r="I96" s="3873"/>
      <c r="J96" s="3873"/>
      <c r="K96" s="3869"/>
      <c r="L96" s="3869"/>
      <c r="M96" s="3869"/>
      <c r="N96" s="3869"/>
    </row>
    <row r="97" spans="3:14" hidden="1">
      <c r="C97" s="3869"/>
      <c r="D97" s="3869"/>
      <c r="E97" s="3869"/>
      <c r="F97" s="3869"/>
      <c r="G97" s="3869"/>
      <c r="H97" s="3873"/>
      <c r="I97" s="3873"/>
      <c r="J97" s="3873"/>
      <c r="K97" s="3869"/>
      <c r="L97" s="3869"/>
      <c r="M97" s="3869"/>
      <c r="N97" s="3869"/>
    </row>
    <row r="98" spans="3:14" hidden="1">
      <c r="C98" s="3869"/>
      <c r="D98" s="3869"/>
      <c r="E98" s="3869"/>
      <c r="F98" s="3869"/>
      <c r="G98" s="3869"/>
      <c r="H98" s="3873"/>
      <c r="I98" s="3873"/>
      <c r="J98" s="3873"/>
      <c r="K98" s="3869"/>
      <c r="L98" s="3869"/>
      <c r="M98" s="3869"/>
      <c r="N98" s="3869"/>
    </row>
    <row r="99" spans="3:14" hidden="1">
      <c r="C99" s="3869"/>
      <c r="D99" s="3869"/>
      <c r="E99" s="3869"/>
      <c r="F99" s="3869"/>
      <c r="G99" s="3869"/>
      <c r="H99" s="3873"/>
      <c r="I99" s="3873"/>
      <c r="J99" s="3873"/>
      <c r="K99" s="3869"/>
      <c r="L99" s="3869"/>
      <c r="M99" s="3869"/>
      <c r="N99" s="3869"/>
    </row>
    <row r="100" spans="3:14" hidden="1">
      <c r="C100" s="3869"/>
      <c r="D100" s="3869"/>
      <c r="E100" s="3869"/>
      <c r="F100" s="3869"/>
      <c r="G100" s="3869"/>
      <c r="H100" s="3873"/>
      <c r="I100" s="3873"/>
      <c r="J100" s="3873"/>
      <c r="K100" s="3869"/>
      <c r="L100" s="3869"/>
      <c r="M100" s="3869"/>
      <c r="N100" s="3869"/>
    </row>
    <row r="101" spans="3:14" hidden="1"/>
    <row r="102" spans="3:14" hidden="1"/>
    <row r="103" spans="3:14" hidden="1"/>
    <row r="104" spans="3:14" hidden="1"/>
    <row r="105" spans="3:14" hidden="1"/>
    <row r="106" spans="3:14" hidden="1"/>
    <row r="107" spans="3:14" hidden="1"/>
    <row r="108" spans="3:14" hidden="1"/>
    <row r="109" spans="3:14" hidden="1"/>
    <row r="110" spans="3:14" hidden="1"/>
    <row r="111" spans="3:14" hidden="1"/>
    <row r="112" spans="3:14" hidden="1"/>
    <row r="113" spans="2:14" hidden="1"/>
    <row r="114" spans="2:14" hidden="1"/>
    <row r="115" spans="2:14" hidden="1"/>
    <row r="116" spans="2:14" hidden="1"/>
    <row r="117" spans="2:14" hidden="1"/>
    <row r="118" spans="2:14" hidden="1"/>
    <row r="119" spans="2:14" hidden="1"/>
    <row r="120" spans="2:14" hidden="1"/>
    <row r="121" spans="2:14" hidden="1"/>
    <row r="122" spans="2:14" hidden="1"/>
    <row r="123" spans="2:14" hidden="1"/>
    <row r="124" spans="2:14" hidden="1"/>
    <row r="125" spans="2:14" hidden="1">
      <c r="C125" s="3874"/>
      <c r="D125" s="3875"/>
      <c r="E125" s="3875"/>
      <c r="F125" s="3875"/>
      <c r="G125" s="3875"/>
      <c r="H125" s="910">
        <v>2012</v>
      </c>
      <c r="I125" s="3875"/>
      <c r="J125" s="3875"/>
      <c r="K125" s="3875"/>
      <c r="L125" s="3875"/>
      <c r="M125" s="3875"/>
      <c r="N125" s="3876"/>
    </row>
    <row r="126" spans="2:14" ht="15" hidden="1" thickBot="1">
      <c r="B126" s="657" t="s">
        <v>748</v>
      </c>
      <c r="C126" s="3877" t="s">
        <v>36</v>
      </c>
      <c r="D126" s="3878" t="s">
        <v>37</v>
      </c>
      <c r="E126" s="3878" t="s">
        <v>38</v>
      </c>
      <c r="F126" s="3878" t="s">
        <v>39</v>
      </c>
      <c r="G126" s="3878" t="s">
        <v>40</v>
      </c>
      <c r="H126" s="3878" t="s">
        <v>41</v>
      </c>
      <c r="I126" s="3878" t="s">
        <v>42</v>
      </c>
      <c r="J126" s="3878" t="s">
        <v>43</v>
      </c>
      <c r="K126" s="3878" t="s">
        <v>44</v>
      </c>
      <c r="L126" s="3878" t="s">
        <v>45</v>
      </c>
      <c r="M126" s="3878" t="s">
        <v>46</v>
      </c>
      <c r="N126" s="3879" t="s">
        <v>47</v>
      </c>
    </row>
    <row r="127" spans="2:14" hidden="1">
      <c r="C127" s="915"/>
      <c r="D127" s="916"/>
      <c r="E127" s="916"/>
      <c r="F127" s="916"/>
      <c r="G127" s="916"/>
      <c r="H127" s="916"/>
      <c r="I127" s="916"/>
      <c r="J127" s="916"/>
      <c r="K127" s="916"/>
      <c r="L127" s="916"/>
      <c r="M127" s="916"/>
      <c r="N127" s="917"/>
    </row>
    <row r="128" spans="2:14" ht="16.2" hidden="1" thickBot="1">
      <c r="B128" s="657" t="s">
        <v>151</v>
      </c>
      <c r="C128" s="918">
        <v>53.089875463470889</v>
      </c>
      <c r="D128" s="3880">
        <v>55.87610303153771</v>
      </c>
      <c r="E128" s="3880">
        <v>58.579753404123871</v>
      </c>
      <c r="F128" s="3880">
        <v>53.879183463947015</v>
      </c>
      <c r="G128" s="3880">
        <v>58.787717387036651</v>
      </c>
      <c r="H128" s="3880">
        <v>62.016859985606381</v>
      </c>
      <c r="I128" s="3880">
        <v>59.875153625024922</v>
      </c>
      <c r="J128" s="3880">
        <v>59.294727491619376</v>
      </c>
      <c r="K128" s="3880">
        <v>59.437947944190896</v>
      </c>
      <c r="L128" s="3880">
        <v>60.024214842291194</v>
      </c>
      <c r="M128" s="3880">
        <v>64.57437445092043</v>
      </c>
      <c r="N128" s="920">
        <v>47.765906961560191</v>
      </c>
    </row>
    <row r="129" spans="2:14" ht="15.6" hidden="1">
      <c r="B129" s="658" t="s">
        <v>144</v>
      </c>
      <c r="C129" s="918">
        <v>68.951356232838961</v>
      </c>
      <c r="D129" s="3880">
        <v>72.378673808491399</v>
      </c>
      <c r="E129" s="3880">
        <v>77.877250978115853</v>
      </c>
      <c r="F129" s="3880">
        <v>67.982176955626983</v>
      </c>
      <c r="G129" s="3880">
        <v>78.131865876970096</v>
      </c>
      <c r="H129" s="3880">
        <v>80.292000821943248</v>
      </c>
      <c r="I129" s="3880">
        <v>74.957712284275132</v>
      </c>
      <c r="J129" s="3880">
        <v>76.840261883368285</v>
      </c>
      <c r="K129" s="3880">
        <v>76.000411269537324</v>
      </c>
      <c r="L129" s="3880">
        <v>79.490955401603955</v>
      </c>
      <c r="M129" s="3880">
        <v>85.827678389771748</v>
      </c>
      <c r="N129" s="920">
        <v>58.283417246070321</v>
      </c>
    </row>
    <row r="130" spans="2:14" ht="15.6" hidden="1">
      <c r="B130" s="658" t="s">
        <v>145</v>
      </c>
      <c r="C130" s="918">
        <v>54.153923096839591</v>
      </c>
      <c r="D130" s="3880">
        <v>58.820142701824686</v>
      </c>
      <c r="E130" s="3880">
        <v>59.62452151612402</v>
      </c>
      <c r="F130" s="3880">
        <v>55.014907572976746</v>
      </c>
      <c r="G130" s="3880">
        <v>57.637486294759718</v>
      </c>
      <c r="H130" s="3880">
        <v>63.361160802404292</v>
      </c>
      <c r="I130" s="3880">
        <v>60.693160988628009</v>
      </c>
      <c r="J130" s="3880">
        <v>58.665457225764506</v>
      </c>
      <c r="K130" s="3880">
        <v>60.615114235690662</v>
      </c>
      <c r="L130" s="3880">
        <v>60.740404784960745</v>
      </c>
      <c r="M130" s="3880">
        <v>68.144893576127728</v>
      </c>
      <c r="N130" s="920">
        <v>49.821418448132398</v>
      </c>
    </row>
    <row r="131" spans="2:14" ht="16.2" hidden="1" thickBot="1">
      <c r="B131" s="659" t="s">
        <v>146</v>
      </c>
      <c r="C131" s="918">
        <v>39.472948298842432</v>
      </c>
      <c r="D131" s="3880">
        <v>40.137860697185111</v>
      </c>
      <c r="E131" s="3880">
        <v>42.226645391596634</v>
      </c>
      <c r="F131" s="3880">
        <v>41.609722930406924</v>
      </c>
      <c r="G131" s="3880">
        <v>44.270764777222823</v>
      </c>
      <c r="H131" s="3880">
        <v>45.760666326518113</v>
      </c>
      <c r="I131" s="3880">
        <v>46.782364285452871</v>
      </c>
      <c r="J131" s="3880">
        <v>45.430924601441738</v>
      </c>
      <c r="K131" s="3880">
        <v>44.819317797292804</v>
      </c>
      <c r="L131" s="3880">
        <v>43.419289473100299</v>
      </c>
      <c r="M131" s="3880">
        <v>44.034110098535969</v>
      </c>
      <c r="N131" s="920">
        <v>37.351701146580545</v>
      </c>
    </row>
    <row r="132" spans="2:14" hidden="1"/>
    <row r="133" spans="2:14" hidden="1"/>
    <row r="134" spans="2:14" hidden="1"/>
    <row r="135" spans="2:14" hidden="1">
      <c r="C135" s="3881"/>
      <c r="D135" s="3882"/>
      <c r="E135" s="3882"/>
      <c r="F135" s="3882"/>
      <c r="G135" s="3882"/>
      <c r="H135" s="3882">
        <v>2011</v>
      </c>
      <c r="I135" s="3882"/>
      <c r="J135" s="3882"/>
      <c r="K135" s="3882"/>
      <c r="L135" s="3882"/>
      <c r="M135" s="3882"/>
      <c r="N135" s="3882"/>
    </row>
    <row r="136" spans="2:14" ht="15" hidden="1" thickBot="1">
      <c r="B136" s="660" t="s">
        <v>749</v>
      </c>
      <c r="C136" s="923" t="s">
        <v>36</v>
      </c>
      <c r="D136" s="924" t="s">
        <v>37</v>
      </c>
      <c r="E136" s="924" t="s">
        <v>38</v>
      </c>
      <c r="F136" s="924" t="s">
        <v>39</v>
      </c>
      <c r="G136" s="924" t="s">
        <v>40</v>
      </c>
      <c r="H136" s="924" t="s">
        <v>41</v>
      </c>
      <c r="I136" s="924" t="s">
        <v>42</v>
      </c>
      <c r="J136" s="924" t="s">
        <v>43</v>
      </c>
      <c r="K136" s="924" t="s">
        <v>44</v>
      </c>
      <c r="L136" s="924" t="s">
        <v>45</v>
      </c>
      <c r="M136" s="924" t="s">
        <v>46</v>
      </c>
      <c r="N136" s="925" t="s">
        <v>47</v>
      </c>
    </row>
    <row r="137" spans="2:14" hidden="1">
      <c r="C137" s="3883"/>
      <c r="D137" s="3883"/>
      <c r="E137" s="3883"/>
      <c r="F137" s="3883"/>
      <c r="G137" s="3883"/>
      <c r="H137" s="3883"/>
      <c r="I137" s="3883"/>
      <c r="J137" s="3883"/>
      <c r="K137" s="3883"/>
      <c r="L137" s="3883"/>
      <c r="M137" s="3883"/>
      <c r="N137" s="3883"/>
    </row>
    <row r="138" spans="2:14" ht="16.2" hidden="1" thickBot="1">
      <c r="B138" s="660" t="s">
        <v>151</v>
      </c>
      <c r="C138" s="927">
        <v>47.079084889906142</v>
      </c>
      <c r="D138" s="928">
        <v>54.159655752409741</v>
      </c>
      <c r="E138" s="928">
        <v>53.545023637071445</v>
      </c>
      <c r="F138" s="928">
        <v>50.871468108548385</v>
      </c>
      <c r="G138" s="928">
        <v>52.230783125112957</v>
      </c>
      <c r="H138" s="928">
        <v>53.992405226685442</v>
      </c>
      <c r="I138" s="928">
        <v>54.916567527829294</v>
      </c>
      <c r="J138" s="928">
        <v>54.486169331981472</v>
      </c>
      <c r="K138" s="928">
        <v>55.124541417875285</v>
      </c>
      <c r="L138" s="928">
        <v>56.71759176175658</v>
      </c>
      <c r="M138" s="928">
        <v>61.411019388666553</v>
      </c>
      <c r="N138" s="929">
        <v>50.684609144756003</v>
      </c>
    </row>
    <row r="139" spans="2:14" ht="15.6" hidden="1">
      <c r="B139" s="661" t="s">
        <v>144</v>
      </c>
      <c r="C139" s="927">
        <v>57.206217530916611</v>
      </c>
      <c r="D139" s="928">
        <v>70.714740382590705</v>
      </c>
      <c r="E139" s="928">
        <v>71.604279173450024</v>
      </c>
      <c r="F139" s="928">
        <v>64.841926586842774</v>
      </c>
      <c r="G139" s="928">
        <v>68.477033326199873</v>
      </c>
      <c r="H139" s="928">
        <v>70.176108635346893</v>
      </c>
      <c r="I139" s="928">
        <v>70.086856531635888</v>
      </c>
      <c r="J139" s="928">
        <v>71.084782654213882</v>
      </c>
      <c r="K139" s="928">
        <v>72.679821770528321</v>
      </c>
      <c r="L139" s="928">
        <v>72.996447712698924</v>
      </c>
      <c r="M139" s="928">
        <v>82.005092296600893</v>
      </c>
      <c r="N139" s="929">
        <v>61.070614567746659</v>
      </c>
    </row>
    <row r="140" spans="2:14" ht="15.6" hidden="1">
      <c r="B140" s="661" t="s">
        <v>145</v>
      </c>
      <c r="C140" s="927">
        <v>48.171651291523972</v>
      </c>
      <c r="D140" s="928">
        <v>54.852979443424388</v>
      </c>
      <c r="E140" s="928">
        <v>55.134457565877362</v>
      </c>
      <c r="F140" s="928">
        <v>52.754503136692179</v>
      </c>
      <c r="G140" s="928">
        <v>53.634173569362488</v>
      </c>
      <c r="H140" s="928">
        <v>53.978951629452347</v>
      </c>
      <c r="I140" s="928">
        <v>58.467986760534302</v>
      </c>
      <c r="J140" s="928">
        <v>57.324167107310259</v>
      </c>
      <c r="K140" s="928">
        <v>57.051204210310864</v>
      </c>
      <c r="L140" s="928">
        <v>58.772385405189027</v>
      </c>
      <c r="M140" s="928">
        <v>63.502285826320829</v>
      </c>
      <c r="N140" s="929">
        <v>51.143555120506853</v>
      </c>
    </row>
    <row r="141" spans="2:14" ht="16.2" hidden="1" thickBot="1">
      <c r="B141" s="662" t="s">
        <v>146</v>
      </c>
      <c r="C141" s="927">
        <v>38.048395322087728</v>
      </c>
      <c r="D141" s="928">
        <v>40.314708239347254</v>
      </c>
      <c r="E141" s="928">
        <v>37.742428977003065</v>
      </c>
      <c r="F141" s="928">
        <v>38.097909230040784</v>
      </c>
      <c r="G141" s="928">
        <v>38.036880459337077</v>
      </c>
      <c r="H141" s="928">
        <v>41.0385857568414</v>
      </c>
      <c r="I141" s="928">
        <v>39.780559623063738</v>
      </c>
      <c r="J141" s="928">
        <v>38.805086279868419</v>
      </c>
      <c r="K141" s="928">
        <v>39.442461329573703</v>
      </c>
      <c r="L141" s="928">
        <v>41.919034067229987</v>
      </c>
      <c r="M141" s="928">
        <v>43.124256331904128</v>
      </c>
      <c r="N141" s="929">
        <v>41.97167343804896</v>
      </c>
    </row>
    <row r="142" spans="2:14" hidden="1"/>
    <row r="143" spans="2:14" hidden="1"/>
    <row r="144" spans="2:14" hidden="1">
      <c r="C144" s="3884"/>
      <c r="D144" s="3885"/>
      <c r="E144" s="3885"/>
      <c r="F144" s="3885"/>
      <c r="G144" s="3885"/>
      <c r="H144" s="3885">
        <v>2010</v>
      </c>
      <c r="I144" s="3885"/>
      <c r="J144" s="3885"/>
      <c r="K144" s="3885"/>
      <c r="L144" s="3885"/>
      <c r="M144" s="3885"/>
      <c r="N144" s="3886"/>
    </row>
    <row r="145" spans="2:14" ht="15" hidden="1" thickBot="1">
      <c r="B145" s="663" t="s">
        <v>750</v>
      </c>
      <c r="C145" s="933" t="s">
        <v>36</v>
      </c>
      <c r="D145" s="3883" t="s">
        <v>37</v>
      </c>
      <c r="E145" s="3883" t="s">
        <v>38</v>
      </c>
      <c r="F145" s="3883" t="s">
        <v>39</v>
      </c>
      <c r="G145" s="3883" t="s">
        <v>40</v>
      </c>
      <c r="H145" s="3883" t="s">
        <v>41</v>
      </c>
      <c r="I145" s="3883" t="s">
        <v>42</v>
      </c>
      <c r="J145" s="3883" t="s">
        <v>43</v>
      </c>
      <c r="K145" s="3883" t="s">
        <v>44</v>
      </c>
      <c r="L145" s="3883" t="s">
        <v>45</v>
      </c>
      <c r="M145" s="3883" t="s">
        <v>46</v>
      </c>
      <c r="N145" s="934" t="s">
        <v>47</v>
      </c>
    </row>
    <row r="146" spans="2:14" hidden="1">
      <c r="C146" s="935"/>
      <c r="D146" s="3887"/>
      <c r="E146" s="3887"/>
      <c r="F146" s="3887"/>
      <c r="G146" s="3887"/>
      <c r="H146" s="3887"/>
      <c r="I146" s="3887"/>
      <c r="J146" s="3887"/>
      <c r="K146" s="3887"/>
      <c r="L146" s="3887"/>
      <c r="M146" s="3887"/>
      <c r="N146" s="937"/>
    </row>
    <row r="147" spans="2:14" ht="16.2" hidden="1" thickBot="1">
      <c r="B147" s="663" t="s">
        <v>151</v>
      </c>
      <c r="C147" s="938">
        <v>46.844172135145513</v>
      </c>
      <c r="D147" s="3888">
        <v>54.180880272627071</v>
      </c>
      <c r="E147" s="3888">
        <v>53.044507487294503</v>
      </c>
      <c r="F147" s="3888">
        <v>50.910729226471325</v>
      </c>
      <c r="G147" s="3888">
        <v>51.893191486115484</v>
      </c>
      <c r="H147" s="3888">
        <v>53.137671365175905</v>
      </c>
      <c r="I147" s="3888">
        <v>53.520109125300245</v>
      </c>
      <c r="J147" s="3888">
        <v>52.132370802605131</v>
      </c>
      <c r="K147" s="3888">
        <v>51.076140824553399</v>
      </c>
      <c r="L147" s="3888">
        <v>56.118692736004242</v>
      </c>
      <c r="M147" s="3888">
        <v>55.756581064313373</v>
      </c>
      <c r="N147" s="940">
        <v>49.254121794042113</v>
      </c>
    </row>
    <row r="148" spans="2:14" ht="15.6" hidden="1">
      <c r="B148" s="664" t="s">
        <v>144</v>
      </c>
      <c r="C148" s="938">
        <v>58.31489713689755</v>
      </c>
      <c r="D148" s="3888">
        <v>70.028189506728211</v>
      </c>
      <c r="E148" s="3888">
        <v>68.858955669503487</v>
      </c>
      <c r="F148" s="3888">
        <v>63.800127305194138</v>
      </c>
      <c r="G148" s="3888">
        <v>67.711135293074477</v>
      </c>
      <c r="H148" s="3888">
        <v>67.884574581928717</v>
      </c>
      <c r="I148" s="3888">
        <v>67.616681380464669</v>
      </c>
      <c r="J148" s="3888">
        <v>66.873370155525151</v>
      </c>
      <c r="K148" s="3888">
        <v>64.347549329866325</v>
      </c>
      <c r="L148" s="3888">
        <v>73.536477690636517</v>
      </c>
      <c r="M148" s="3888">
        <v>73.341820495607877</v>
      </c>
      <c r="N148" s="940">
        <v>60.337570068892425</v>
      </c>
    </row>
    <row r="149" spans="2:14" ht="15.6" hidden="1">
      <c r="B149" s="664" t="s">
        <v>145</v>
      </c>
      <c r="C149" s="938">
        <v>44.801463424466625</v>
      </c>
      <c r="D149" s="3888">
        <v>52.718253967518528</v>
      </c>
      <c r="E149" s="3888">
        <v>53.064516128648137</v>
      </c>
      <c r="F149" s="3888">
        <v>50.985630438849427</v>
      </c>
      <c r="G149" s="3888">
        <v>51.530642223391013</v>
      </c>
      <c r="H149" s="3888">
        <v>55.636510827255613</v>
      </c>
      <c r="I149" s="3888">
        <v>57.21644436681845</v>
      </c>
      <c r="J149" s="3888">
        <v>52.717550972799025</v>
      </c>
      <c r="K149" s="3888">
        <v>52.098765431979366</v>
      </c>
      <c r="L149" s="3888">
        <v>56.856062832319374</v>
      </c>
      <c r="M149" s="3888">
        <v>59.321999595886467</v>
      </c>
      <c r="N149" s="940">
        <v>49.636680572067391</v>
      </c>
    </row>
    <row r="150" spans="2:14" ht="16.2" hidden="1" thickBot="1">
      <c r="B150" s="665" t="s">
        <v>146</v>
      </c>
      <c r="C150" s="938">
        <v>39.308160373479083</v>
      </c>
      <c r="D150" s="3888">
        <v>42.687682215230602</v>
      </c>
      <c r="E150" s="3888">
        <v>40.352205398905092</v>
      </c>
      <c r="F150" s="3888">
        <v>40.521842597985732</v>
      </c>
      <c r="G150" s="3888">
        <v>39.52558766917236</v>
      </c>
      <c r="H150" s="3888">
        <v>39.224885262389598</v>
      </c>
      <c r="I150" s="3888">
        <v>39.122567485502302</v>
      </c>
      <c r="J150" s="3888">
        <v>39.83155401334114</v>
      </c>
      <c r="K150" s="3888">
        <v>39.58524562298421</v>
      </c>
      <c r="L150" s="3888">
        <v>41.545623530314131</v>
      </c>
      <c r="M150" s="3888">
        <v>38.674145843474754</v>
      </c>
      <c r="N150" s="940">
        <v>40.053626359469156</v>
      </c>
    </row>
    <row r="151" spans="2:14" hidden="1"/>
    <row r="152" spans="2:14" hidden="1"/>
    <row r="153" spans="2:14" hidden="1"/>
    <row r="154" spans="2:14" ht="15.6" hidden="1">
      <c r="C154" s="3889"/>
      <c r="D154" s="3890"/>
      <c r="E154" s="3890"/>
      <c r="F154" s="3890"/>
      <c r="G154" s="3890"/>
      <c r="H154" s="3890">
        <v>2009</v>
      </c>
      <c r="I154" s="3890"/>
      <c r="J154" s="3890"/>
      <c r="K154" s="3890"/>
      <c r="L154" s="3890"/>
      <c r="M154" s="3890"/>
      <c r="N154" s="3891"/>
    </row>
    <row r="155" spans="2:14" ht="15" hidden="1" thickBot="1">
      <c r="B155" s="657" t="s">
        <v>751</v>
      </c>
      <c r="C155" s="3892" t="s">
        <v>36</v>
      </c>
      <c r="D155" s="3893" t="s">
        <v>37</v>
      </c>
      <c r="E155" s="3893" t="s">
        <v>38</v>
      </c>
      <c r="F155" s="3893" t="s">
        <v>39</v>
      </c>
      <c r="G155" s="3893" t="s">
        <v>40</v>
      </c>
      <c r="H155" s="3893" t="s">
        <v>41</v>
      </c>
      <c r="I155" s="3893" t="s">
        <v>42</v>
      </c>
      <c r="J155" s="3893" t="s">
        <v>43</v>
      </c>
      <c r="K155" s="3893" t="s">
        <v>44</v>
      </c>
      <c r="L155" s="3893" t="s">
        <v>45</v>
      </c>
      <c r="M155" s="3893" t="s">
        <v>46</v>
      </c>
      <c r="N155" s="3894" t="s">
        <v>47</v>
      </c>
    </row>
    <row r="156" spans="2:14" hidden="1">
      <c r="C156" s="947"/>
      <c r="D156" s="3895"/>
      <c r="E156" s="3895"/>
      <c r="F156" s="3895"/>
      <c r="G156" s="3895"/>
      <c r="H156" s="3895"/>
      <c r="I156" s="3895"/>
      <c r="J156" s="3895"/>
      <c r="K156" s="3895"/>
      <c r="L156" s="3895"/>
      <c r="M156" s="3895"/>
      <c r="N156" s="949"/>
    </row>
    <row r="157" spans="2:14" ht="16.2" hidden="1" thickBot="1">
      <c r="B157" s="657" t="s">
        <v>151</v>
      </c>
      <c r="C157" s="950">
        <v>47.276710982789211</v>
      </c>
      <c r="D157" s="3896">
        <v>48.627691780909444</v>
      </c>
      <c r="E157" s="3896">
        <v>50.878535751101467</v>
      </c>
      <c r="F157" s="3896">
        <v>46.381673143536318</v>
      </c>
      <c r="G157" s="3896">
        <v>48.21662465190493</v>
      </c>
      <c r="H157" s="3896">
        <v>49.669792091339772</v>
      </c>
      <c r="I157" s="3896">
        <v>52.647843982929082</v>
      </c>
      <c r="J157" s="3896">
        <v>52.179589997558047</v>
      </c>
      <c r="K157" s="3896">
        <v>49.544645303169894</v>
      </c>
      <c r="L157" s="3896">
        <v>52.417375007233247</v>
      </c>
      <c r="M157" s="3896">
        <v>54.481723949776615</v>
      </c>
      <c r="N157" s="952">
        <v>46.643221451943326</v>
      </c>
    </row>
    <row r="158" spans="2:14" ht="15.6" hidden="1">
      <c r="B158" s="658" t="s">
        <v>144</v>
      </c>
      <c r="C158" s="950">
        <v>53.881581441257346</v>
      </c>
      <c r="D158" s="3896">
        <v>59.046080243319629</v>
      </c>
      <c r="E158" s="3896">
        <v>66.724627252391571</v>
      </c>
      <c r="F158" s="3896">
        <v>56.726559272391569</v>
      </c>
      <c r="G158" s="3896">
        <v>58.026541952087982</v>
      </c>
      <c r="H158" s="3896">
        <v>62.232548533166046</v>
      </c>
      <c r="I158" s="3896">
        <v>64.141919473995031</v>
      </c>
      <c r="J158" s="3896">
        <v>67.869992074089481</v>
      </c>
      <c r="K158" s="3896">
        <v>64.950640622986768</v>
      </c>
      <c r="L158" s="3896">
        <v>72.697522208594819</v>
      </c>
      <c r="M158" s="3896">
        <v>74.553665196326406</v>
      </c>
      <c r="N158" s="952">
        <v>54.354940342394457</v>
      </c>
    </row>
    <row r="159" spans="2:14" ht="15.6" hidden="1">
      <c r="B159" s="658" t="s">
        <v>145</v>
      </c>
      <c r="C159" s="950">
        <v>48.092979126448533</v>
      </c>
      <c r="D159" s="3896">
        <v>47.124474789998537</v>
      </c>
      <c r="E159" s="3896">
        <v>44.800730733482865</v>
      </c>
      <c r="F159" s="3896">
        <v>46.430700446442629</v>
      </c>
      <c r="G159" s="3896">
        <v>48.765902701403242</v>
      </c>
      <c r="H159" s="3896">
        <v>49.59038508731053</v>
      </c>
      <c r="I159" s="3896">
        <v>52.752260912553353</v>
      </c>
      <c r="J159" s="3896">
        <v>49.424048662824049</v>
      </c>
      <c r="K159" s="3896">
        <v>49.752720078999999</v>
      </c>
      <c r="L159" s="3896">
        <v>52.259007734564321</v>
      </c>
      <c r="M159" s="3896">
        <v>53.630604288406431</v>
      </c>
      <c r="N159" s="952">
        <v>47.110460863343086</v>
      </c>
    </row>
    <row r="160" spans="2:14" ht="16.2" hidden="1" thickBot="1">
      <c r="B160" s="659" t="s">
        <v>146</v>
      </c>
      <c r="C160" s="950">
        <v>40.873593203790051</v>
      </c>
      <c r="D160" s="3896">
        <v>40.541237113186085</v>
      </c>
      <c r="E160" s="3896">
        <v>41.867062730181587</v>
      </c>
      <c r="F160" s="3896">
        <v>37.709949991713913</v>
      </c>
      <c r="G160" s="3896">
        <v>39.640872452465594</v>
      </c>
      <c r="H160" s="3896">
        <v>39.23607518568442</v>
      </c>
      <c r="I160" s="3896">
        <v>42.999083104914732</v>
      </c>
      <c r="J160" s="3896">
        <v>41.217896299902222</v>
      </c>
      <c r="K160" s="3896">
        <v>36.751163994132952</v>
      </c>
      <c r="L160" s="3896">
        <v>35.879378535660628</v>
      </c>
      <c r="M160" s="3896">
        <v>38.604931884841157</v>
      </c>
      <c r="N160" s="952">
        <v>39.988330416010861</v>
      </c>
    </row>
    <row r="161" spans="2:14" hidden="1"/>
    <row r="162" spans="2:14" hidden="1"/>
    <row r="163" spans="2:14" hidden="1"/>
    <row r="164" spans="2:14" ht="15.6" hidden="1">
      <c r="C164" s="953"/>
      <c r="D164" s="156"/>
      <c r="E164" s="156"/>
      <c r="F164" s="156"/>
      <c r="G164" s="156"/>
      <c r="H164" s="954">
        <v>2008</v>
      </c>
      <c r="I164" s="156"/>
      <c r="J164" s="156"/>
      <c r="K164" s="156"/>
      <c r="L164" s="156"/>
      <c r="M164" s="156"/>
      <c r="N164" s="955"/>
    </row>
    <row r="165" spans="2:14" ht="15" hidden="1" thickBot="1">
      <c r="B165" s="666" t="s">
        <v>752</v>
      </c>
      <c r="C165" s="956" t="s">
        <v>36</v>
      </c>
      <c r="D165" s="3897" t="s">
        <v>37</v>
      </c>
      <c r="E165" s="3897" t="s">
        <v>38</v>
      </c>
      <c r="F165" s="3897" t="s">
        <v>39</v>
      </c>
      <c r="G165" s="3897" t="s">
        <v>40</v>
      </c>
      <c r="H165" s="3897" t="s">
        <v>41</v>
      </c>
      <c r="I165" s="3897" t="s">
        <v>42</v>
      </c>
      <c r="J165" s="3897" t="s">
        <v>43</v>
      </c>
      <c r="K165" s="3897" t="s">
        <v>44</v>
      </c>
      <c r="L165" s="3897" t="s">
        <v>45</v>
      </c>
      <c r="M165" s="3897" t="s">
        <v>46</v>
      </c>
      <c r="N165" s="3897" t="s">
        <v>47</v>
      </c>
    </row>
    <row r="166" spans="2:14" hidden="1">
      <c r="C166" s="956"/>
      <c r="D166" s="3897"/>
      <c r="E166" s="3897"/>
      <c r="F166" s="3897"/>
      <c r="G166" s="3897"/>
      <c r="H166" s="3897"/>
      <c r="I166" s="3897"/>
      <c r="J166" s="3897"/>
      <c r="K166" s="3897"/>
      <c r="L166" s="3897"/>
      <c r="M166" s="3897"/>
      <c r="N166" s="3897"/>
    </row>
    <row r="167" spans="2:14" ht="16.2" hidden="1" thickBot="1">
      <c r="B167" s="666" t="s">
        <v>151</v>
      </c>
      <c r="C167" s="958">
        <v>47.852340968457582</v>
      </c>
      <c r="D167" s="3898">
        <v>51.920638945599286</v>
      </c>
      <c r="E167" s="3898">
        <v>50.493490406671988</v>
      </c>
      <c r="F167" s="3898">
        <v>53.271377995810482</v>
      </c>
      <c r="G167" s="3898">
        <v>53.435094344529858</v>
      </c>
      <c r="H167" s="3898">
        <v>56.232091690366374</v>
      </c>
      <c r="I167" s="3898">
        <v>58.864695707466012</v>
      </c>
      <c r="J167" s="3898">
        <v>55.950510346118698</v>
      </c>
      <c r="K167" s="3898">
        <v>56.10178741937068</v>
      </c>
      <c r="L167" s="3898">
        <v>55.655553282211514</v>
      </c>
      <c r="M167" s="3898">
        <v>59.003612076366181</v>
      </c>
      <c r="N167" s="3898">
        <v>48.137284627777461</v>
      </c>
    </row>
    <row r="168" spans="2:14" ht="15.6" hidden="1">
      <c r="B168" s="667" t="s">
        <v>144</v>
      </c>
      <c r="C168" s="958">
        <v>62.385879489150945</v>
      </c>
      <c r="D168" s="3898">
        <v>71.988576265006145</v>
      </c>
      <c r="E168" s="3898">
        <v>68.408866019858891</v>
      </c>
      <c r="F168" s="3898">
        <v>71.728016361153379</v>
      </c>
      <c r="G168" s="3898">
        <v>71.994134897518421</v>
      </c>
      <c r="H168" s="3898">
        <v>75.280507779158469</v>
      </c>
      <c r="I168" s="3898">
        <v>76.381073155067568</v>
      </c>
      <c r="J168" s="3898">
        <v>71.647380518882059</v>
      </c>
      <c r="K168" s="3898">
        <v>74.780917279404164</v>
      </c>
      <c r="L168" s="3898">
        <v>75.416105253599511</v>
      </c>
      <c r="M168" s="3898">
        <v>78.599508598918916</v>
      </c>
      <c r="N168" s="3898">
        <v>59.742807324066334</v>
      </c>
    </row>
    <row r="169" spans="2:14" ht="15.6" hidden="1">
      <c r="B169" s="667" t="s">
        <v>145</v>
      </c>
      <c r="C169" s="958">
        <v>48.650280085107021</v>
      </c>
      <c r="D169" s="3898">
        <v>50.988540160694605</v>
      </c>
      <c r="E169" s="3898">
        <v>48.099768205303157</v>
      </c>
      <c r="F169" s="3898">
        <v>50.508982035748495</v>
      </c>
      <c r="G169" s="3898">
        <v>51.209677419509781</v>
      </c>
      <c r="H169" s="3898">
        <v>55.549698795173207</v>
      </c>
      <c r="I169" s="3898">
        <v>58.892829382112964</v>
      </c>
      <c r="J169" s="3898">
        <v>55.591721726871242</v>
      </c>
      <c r="K169" s="3898">
        <v>52.999497991992463</v>
      </c>
      <c r="L169" s="3898">
        <v>54.181915125755822</v>
      </c>
      <c r="M169" s="3898">
        <v>58.066616578824942</v>
      </c>
      <c r="N169" s="3898">
        <v>49.013797123383284</v>
      </c>
    </row>
    <row r="170" spans="2:14" ht="16.2" hidden="1" thickBot="1">
      <c r="B170" s="668" t="s">
        <v>146</v>
      </c>
      <c r="C170" s="958">
        <v>35.326759150972528</v>
      </c>
      <c r="D170" s="3898">
        <v>35.617294979795858</v>
      </c>
      <c r="E170" s="3898">
        <v>37.019889687259585</v>
      </c>
      <c r="F170" s="3898">
        <v>39.595854921786511</v>
      </c>
      <c r="G170" s="3898">
        <v>39.311382249276676</v>
      </c>
      <c r="H170" s="3898">
        <v>40.633851468740943</v>
      </c>
      <c r="I170" s="3898">
        <v>44.069864616986024</v>
      </c>
      <c r="J170" s="3898">
        <v>42.956710680368396</v>
      </c>
      <c r="K170" s="3898">
        <v>42.480138169331084</v>
      </c>
      <c r="L170" s="3898">
        <v>40.003342803881353</v>
      </c>
      <c r="M170" s="3898">
        <v>43.136645962759331</v>
      </c>
      <c r="N170" s="3898">
        <v>37.787542861150662</v>
      </c>
    </row>
    <row r="171" spans="2:14" hidden="1"/>
    <row r="172" spans="2:14" hidden="1"/>
    <row r="173" spans="2:14" hidden="1"/>
    <row r="174" spans="2:14" hidden="1">
      <c r="C174" s="960"/>
      <c r="D174" s="961"/>
      <c r="E174" s="961"/>
      <c r="F174" s="3899"/>
      <c r="G174" s="961"/>
      <c r="H174" s="963">
        <v>2007</v>
      </c>
      <c r="I174" s="963"/>
      <c r="J174" s="961"/>
      <c r="K174" s="961"/>
      <c r="L174" s="961"/>
      <c r="M174" s="961"/>
      <c r="N174" s="964"/>
    </row>
    <row r="175" spans="2:14" ht="15" hidden="1" thickBot="1">
      <c r="B175" s="669" t="s">
        <v>753</v>
      </c>
      <c r="C175" s="3900" t="s">
        <v>36</v>
      </c>
      <c r="D175" s="3901" t="s">
        <v>37</v>
      </c>
      <c r="E175" s="3901" t="s">
        <v>38</v>
      </c>
      <c r="F175" s="3901" t="s">
        <v>39</v>
      </c>
      <c r="G175" s="3901" t="s">
        <v>40</v>
      </c>
      <c r="H175" s="3901" t="s">
        <v>41</v>
      </c>
      <c r="I175" s="3901" t="s">
        <v>42</v>
      </c>
      <c r="J175" s="3901" t="s">
        <v>43</v>
      </c>
      <c r="K175" s="3901" t="s">
        <v>44</v>
      </c>
      <c r="L175" s="3901" t="s">
        <v>45</v>
      </c>
      <c r="M175" s="3901" t="s">
        <v>46</v>
      </c>
      <c r="N175" s="3902" t="s">
        <v>47</v>
      </c>
    </row>
    <row r="176" spans="2:14" hidden="1">
      <c r="C176" s="966"/>
      <c r="D176" s="3903"/>
      <c r="E176" s="3903"/>
      <c r="F176" s="3903"/>
      <c r="G176" s="3903"/>
      <c r="H176" s="3903"/>
      <c r="I176" s="3903"/>
      <c r="J176" s="3903"/>
      <c r="K176" s="3903"/>
      <c r="L176" s="3903"/>
      <c r="M176" s="3903"/>
      <c r="N176" s="968"/>
    </row>
    <row r="177" spans="2:14" ht="16.2" hidden="1" thickBot="1">
      <c r="B177" s="669" t="s">
        <v>151</v>
      </c>
      <c r="C177" s="969">
        <v>47.239377634177075</v>
      </c>
      <c r="D177" s="3904">
        <v>50.688309020043988</v>
      </c>
      <c r="E177" s="3904">
        <v>51.845590867311138</v>
      </c>
      <c r="F177" s="3904">
        <v>50.847376353295132</v>
      </c>
      <c r="G177" s="3904">
        <v>50.261856463469151</v>
      </c>
      <c r="H177" s="3904">
        <v>55.469242361743312</v>
      </c>
      <c r="I177" s="3904">
        <v>55.089875335545024</v>
      </c>
      <c r="J177" s="3904">
        <v>53.986819566650787</v>
      </c>
      <c r="K177" s="3904">
        <v>51.96837624161931</v>
      </c>
      <c r="L177" s="3904">
        <v>53.713306698027367</v>
      </c>
      <c r="M177" s="3904">
        <v>58.200243210258613</v>
      </c>
      <c r="N177" s="971">
        <v>44.25835728769222</v>
      </c>
    </row>
    <row r="178" spans="2:14" ht="15.6" hidden="1">
      <c r="B178" s="670" t="s">
        <v>144</v>
      </c>
      <c r="C178" s="969">
        <v>64.23691168809836</v>
      </c>
      <c r="D178" s="3904">
        <v>70.47914818109318</v>
      </c>
      <c r="E178" s="3904">
        <v>73.89701462659626</v>
      </c>
      <c r="F178" s="3904">
        <v>69.63354037385092</v>
      </c>
      <c r="G178" s="3904">
        <v>67.727910240484476</v>
      </c>
      <c r="H178" s="3904">
        <v>79.476190476683229</v>
      </c>
      <c r="I178" s="3904">
        <v>73.653973059927807</v>
      </c>
      <c r="J178" s="3904">
        <v>70.488204141325383</v>
      </c>
      <c r="K178" s="3904">
        <v>73.926368158782083</v>
      </c>
      <c r="L178" s="3904">
        <v>74.561386617898506</v>
      </c>
      <c r="M178" s="3904">
        <v>77.562189054244783</v>
      </c>
      <c r="N178" s="971">
        <v>56.946642321528302</v>
      </c>
    </row>
    <row r="179" spans="2:14" ht="15.6" hidden="1">
      <c r="B179" s="670" t="s">
        <v>145</v>
      </c>
      <c r="C179" s="969">
        <v>45.156822446045695</v>
      </c>
      <c r="D179" s="3904">
        <v>48.166245745545744</v>
      </c>
      <c r="E179" s="3904">
        <v>46.574980797897318</v>
      </c>
      <c r="F179" s="3904">
        <v>46.72371031802605</v>
      </c>
      <c r="G179" s="3904">
        <v>48.334293394901792</v>
      </c>
      <c r="H179" s="3904">
        <v>50.376984125961307</v>
      </c>
      <c r="I179" s="3904">
        <v>54.783258595718991</v>
      </c>
      <c r="J179" s="3904">
        <v>54.364467982388057</v>
      </c>
      <c r="K179" s="3904">
        <v>47.070858283677396</v>
      </c>
      <c r="L179" s="3904">
        <v>55.324029360527696</v>
      </c>
      <c r="M179" s="3904">
        <v>58.405688623355545</v>
      </c>
      <c r="N179" s="971">
        <v>42.964071856426649</v>
      </c>
    </row>
    <row r="180" spans="2:14" ht="16.2" hidden="1" thickBot="1">
      <c r="B180" s="671" t="s">
        <v>146</v>
      </c>
      <c r="C180" s="969">
        <v>35.173011262103216</v>
      </c>
      <c r="D180" s="3904">
        <v>36.075810692248986</v>
      </c>
      <c r="E180" s="3904">
        <v>36.982048859383887</v>
      </c>
      <c r="F180" s="3904">
        <v>37.927126917263088</v>
      </c>
      <c r="G180" s="3904">
        <v>36.909501956753665</v>
      </c>
      <c r="H180" s="3904">
        <v>38.833682008101988</v>
      </c>
      <c r="I180" s="3904">
        <v>39.225739212545058</v>
      </c>
      <c r="J180" s="3904">
        <v>39.319874261977589</v>
      </c>
      <c r="K180" s="3904">
        <v>36.236559139934968</v>
      </c>
      <c r="L180" s="3904">
        <v>34.424826290699279</v>
      </c>
      <c r="M180" s="3904">
        <v>41.192581036273026</v>
      </c>
      <c r="N180" s="971">
        <v>34.661474942412063</v>
      </c>
    </row>
    <row r="181" spans="2:14" hidden="1"/>
    <row r="182" spans="2:14" hidden="1"/>
    <row r="183" spans="2:14" hidden="1">
      <c r="H183" s="156"/>
      <c r="I183" s="156"/>
      <c r="J183" s="156"/>
      <c r="K183" s="3905">
        <v>2006</v>
      </c>
      <c r="L183" s="156"/>
      <c r="M183" s="156"/>
      <c r="N183" s="973"/>
    </row>
    <row r="184" spans="2:14" hidden="1">
      <c r="H184" s="3897" t="s">
        <v>41</v>
      </c>
      <c r="I184" s="3897" t="s">
        <v>42</v>
      </c>
      <c r="J184" s="3897" t="s">
        <v>43</v>
      </c>
      <c r="K184" s="3897" t="s">
        <v>44</v>
      </c>
      <c r="L184" s="3897" t="s">
        <v>45</v>
      </c>
      <c r="M184" s="3897" t="s">
        <v>46</v>
      </c>
      <c r="N184" s="974" t="s">
        <v>47</v>
      </c>
    </row>
    <row r="185" spans="2:14" ht="15" hidden="1" thickBot="1">
      <c r="B185" s="666" t="s">
        <v>754</v>
      </c>
      <c r="H185" s="3897"/>
      <c r="I185" s="3897"/>
      <c r="J185" s="3897"/>
      <c r="K185" s="3897"/>
      <c r="L185" s="3897"/>
      <c r="M185" s="3897"/>
      <c r="N185" s="974"/>
    </row>
    <row r="186" spans="2:14" ht="16.2" hidden="1" thickBot="1">
      <c r="B186" s="666" t="s">
        <v>151</v>
      </c>
      <c r="H186" s="3898">
        <v>50.845060706401767</v>
      </c>
      <c r="I186" s="3898">
        <v>46.981423648154973</v>
      </c>
      <c r="J186" s="3898">
        <v>49.288885986678856</v>
      </c>
      <c r="K186" s="3898">
        <v>47.349454717875773</v>
      </c>
      <c r="L186" s="3898">
        <v>49.325955800596077</v>
      </c>
      <c r="M186" s="3898">
        <v>53.017335517335518</v>
      </c>
      <c r="N186" s="975">
        <v>42.113676266345223</v>
      </c>
    </row>
    <row r="187" spans="2:14" ht="15.6" hidden="1">
      <c r="B187" s="667" t="s">
        <v>144</v>
      </c>
      <c r="H187" s="3898">
        <v>66.837820914214149</v>
      </c>
      <c r="I187" s="3898">
        <v>70.627458693941776</v>
      </c>
      <c r="J187" s="3898">
        <v>66.456287985039737</v>
      </c>
      <c r="K187" s="3898">
        <v>71.515693285657534</v>
      </c>
      <c r="L187" s="3898">
        <v>69.76457204558163</v>
      </c>
      <c r="M187" s="3898">
        <v>75.224148236700543</v>
      </c>
      <c r="N187" s="975">
        <v>54.53881819078623</v>
      </c>
    </row>
    <row r="188" spans="2:14" ht="15.6" hidden="1">
      <c r="B188" s="667" t="s">
        <v>145</v>
      </c>
      <c r="H188" s="3898">
        <v>45.746951219512191</v>
      </c>
      <c r="I188" s="3898">
        <v>44.423549833646753</v>
      </c>
      <c r="J188" s="3898">
        <v>46.168896280173151</v>
      </c>
      <c r="K188" s="3898">
        <v>43.744257274119448</v>
      </c>
      <c r="L188" s="3898">
        <v>49.859529423568958</v>
      </c>
      <c r="M188" s="3898">
        <v>49.807592303692147</v>
      </c>
      <c r="N188" s="975">
        <v>40.646617636350399</v>
      </c>
    </row>
    <row r="189" spans="2:14" ht="16.2" hidden="1" thickBot="1">
      <c r="B189" s="668" t="s">
        <v>146</v>
      </c>
      <c r="H189" s="3898">
        <v>41.041775004333509</v>
      </c>
      <c r="I189" s="3898">
        <v>29.399592563481498</v>
      </c>
      <c r="J189" s="3898">
        <v>36.915373881638345</v>
      </c>
      <c r="K189" s="3898">
        <v>28.845293409051799</v>
      </c>
      <c r="L189" s="3898">
        <v>31.383578919421211</v>
      </c>
      <c r="M189" s="3898">
        <v>35.890789701054089</v>
      </c>
      <c r="N189" s="975">
        <v>32.743581303489137</v>
      </c>
    </row>
    <row r="190" spans="2:14" hidden="1"/>
  </sheetData>
  <mergeCells count="17">
    <mergeCell ref="C21:N21"/>
    <mergeCell ref="B1:N1"/>
    <mergeCell ref="L6:N6"/>
    <mergeCell ref="S8:AA8"/>
    <mergeCell ref="S9:AA9"/>
    <mergeCell ref="S10:AA10"/>
    <mergeCell ref="S11:AA11"/>
    <mergeCell ref="C12:N12"/>
    <mergeCell ref="S12:AA12"/>
    <mergeCell ref="L13:N13"/>
    <mergeCell ref="S13:AA13"/>
    <mergeCell ref="S14:Z14"/>
    <mergeCell ref="L22:N22"/>
    <mergeCell ref="B30:B31"/>
    <mergeCell ref="D31:K31"/>
    <mergeCell ref="G56:N56"/>
    <mergeCell ref="L70:N70"/>
  </mergeCells>
  <hyperlinks>
    <hyperlink ref="Q5" r:id="rId1" xr:uid="{4A7D80E2-8D6C-40E2-B54C-F29FD8B03A5B}"/>
    <hyperlink ref="A78" r:id="rId2" xr:uid="{91E510A4-0626-48A8-BB50-C3BB26215AB8}"/>
    <hyperlink ref="A61" r:id="rId3" xr:uid="{B4ACE41D-E24F-4268-B68A-90335D7CEB54}"/>
    <hyperlink ref="A64" r:id="rId4" xr:uid="{4E7A24D1-051C-46DA-8422-44BE95793F38}"/>
    <hyperlink ref="A66" r:id="rId5" xr:uid="{A20E01B7-1956-4F3C-B91A-9738947AD77B}"/>
    <hyperlink ref="A80" r:id="rId6" xr:uid="{F7A436BB-BB05-4225-B120-192001E9F138}"/>
    <hyperlink ref="A76" r:id="rId7" xr:uid="{E886E4E3-0FA6-438A-9981-EC59E2DBEAC5}"/>
  </hyperlinks>
  <pageMargins left="0.17" right="0.17" top="0.74803149606299213" bottom="0.74803149606299213" header="0.31496062992125984" footer="0.31496062992125984"/>
  <pageSetup scale="41" orientation="landscape" verticalDpi="597" r:id="rId8"/>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CV91"/>
  <sheetViews>
    <sheetView showGridLines="0" zoomScaleNormal="100" workbookViewId="0">
      <selection sqref="A1:Q23"/>
    </sheetView>
  </sheetViews>
  <sheetFormatPr baseColWidth="10" defaultColWidth="11.44140625" defaultRowHeight="14.4"/>
  <cols>
    <col min="1" max="1" width="27.88671875" customWidth="1"/>
    <col min="2" max="8" width="18.109375" hidden="1" customWidth="1"/>
    <col min="9" max="9" width="16" hidden="1" customWidth="1"/>
    <col min="10" max="10" width="11.33203125" customWidth="1"/>
    <col min="11" max="11" width="15.77734375" customWidth="1"/>
    <col min="12" max="12" width="12.5546875" customWidth="1"/>
    <col min="13" max="14" width="14.21875" customWidth="1"/>
    <col min="15" max="15" width="16.33203125" bestFit="1" customWidth="1"/>
    <col min="16" max="16" width="14.21875" customWidth="1"/>
    <col min="17" max="17" width="13.109375" customWidth="1"/>
    <col min="18" max="20" width="11.33203125" hidden="1" customWidth="1"/>
    <col min="21" max="21" width="13.6640625" bestFit="1"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hidden="1" customWidth="1"/>
    <col min="31" max="32" width="9.88671875" hidden="1" customWidth="1"/>
    <col min="33" max="33" width="10.44140625" hidden="1" customWidth="1"/>
    <col min="34" max="37" width="9.88671875" customWidth="1"/>
    <col min="38" max="38" width="19.109375" customWidth="1"/>
    <col min="39" max="39" width="19.109375" style="4500" customWidth="1"/>
    <col min="40" max="40" width="18.33203125" bestFit="1" customWidth="1"/>
    <col min="41" max="42" width="11.6640625" hidden="1" customWidth="1"/>
    <col min="43" max="44" width="8.88671875" hidden="1" customWidth="1"/>
    <col min="45" max="45" width="9.21875" hidden="1" customWidth="1"/>
    <col min="46" max="46" width="9.6640625" hidden="1" customWidth="1"/>
    <col min="47" max="47" width="7.5546875" hidden="1" customWidth="1"/>
    <col min="48" max="48" width="9.109375" hidden="1" customWidth="1"/>
    <col min="49" max="49" width="12.21875" hidden="1" customWidth="1"/>
    <col min="50" max="51" width="11.44140625" hidden="1" customWidth="1"/>
    <col min="52" max="54" width="11.44140625" customWidth="1"/>
  </cols>
  <sheetData>
    <row r="1" spans="1:100" ht="32.25" customHeight="1">
      <c r="A1" s="5363" t="s">
        <v>593</v>
      </c>
      <c r="B1" s="5363"/>
      <c r="C1" s="5363"/>
      <c r="D1" s="5363"/>
      <c r="E1" s="5363"/>
      <c r="F1" s="5363"/>
      <c r="G1" s="5363"/>
      <c r="H1" s="5363"/>
      <c r="I1" s="5363"/>
      <c r="J1" s="5363"/>
      <c r="K1" s="5363"/>
      <c r="L1" s="5363"/>
      <c r="M1" s="673"/>
      <c r="N1" s="841"/>
      <c r="O1" s="841"/>
      <c r="P1" s="841"/>
      <c r="Q1" s="3763"/>
      <c r="R1" s="841"/>
      <c r="S1" s="841"/>
      <c r="T1" s="841"/>
      <c r="U1" s="1010"/>
      <c r="V1" s="589"/>
      <c r="W1" s="589"/>
      <c r="X1" s="2064"/>
      <c r="Y1" s="2064"/>
      <c r="Z1" s="2064"/>
      <c r="AA1" s="2064"/>
      <c r="AB1" s="2064"/>
      <c r="AC1" s="2064"/>
      <c r="AD1" s="2064"/>
      <c r="AE1" s="2064"/>
      <c r="AF1" s="1021"/>
      <c r="AG1" s="589"/>
      <c r="AH1" s="589"/>
      <c r="AI1" s="589"/>
      <c r="AJ1" s="589"/>
      <c r="AK1" s="589"/>
      <c r="AL1" s="589"/>
      <c r="AM1" s="589"/>
      <c r="AN1" s="589"/>
      <c r="AO1" s="594"/>
      <c r="AP1" s="594"/>
      <c r="AQ1" s="594"/>
      <c r="AR1" s="594"/>
      <c r="AS1" s="594"/>
      <c r="AT1" s="2130"/>
      <c r="AU1" s="2130"/>
      <c r="AV1" s="2130"/>
      <c r="AW1" s="2130"/>
      <c r="AX1" s="2130"/>
      <c r="AY1" s="2130"/>
      <c r="AZ1" s="2130"/>
      <c r="BA1" s="2130"/>
      <c r="BB1" s="2130"/>
      <c r="BC1" s="472"/>
      <c r="BD1" s="472"/>
      <c r="BE1" s="472"/>
      <c r="BF1" s="472"/>
      <c r="BG1" s="472"/>
      <c r="BH1" s="472"/>
      <c r="BI1" s="472"/>
      <c r="BJ1" s="472"/>
      <c r="BK1" s="472"/>
      <c r="BL1" s="472"/>
      <c r="BM1" s="472"/>
      <c r="BN1" s="472"/>
      <c r="BO1" s="472"/>
      <c r="BP1" s="472"/>
      <c r="BQ1" s="472"/>
      <c r="BR1" s="472"/>
      <c r="BS1" s="472"/>
      <c r="BT1" s="472"/>
      <c r="BU1" s="472"/>
      <c r="BV1" s="472"/>
      <c r="BW1" s="472"/>
      <c r="BX1" s="472"/>
      <c r="BY1" s="472"/>
      <c r="BZ1" s="472"/>
      <c r="CA1" s="472"/>
      <c r="CB1" s="472"/>
    </row>
    <row r="2" spans="1:100" ht="16.2" thickBot="1">
      <c r="A2" s="471"/>
      <c r="B2" s="471"/>
      <c r="C2" s="471"/>
      <c r="D2" s="471"/>
      <c r="E2" s="471"/>
      <c r="F2" s="471"/>
      <c r="G2" s="471"/>
      <c r="H2" s="471"/>
      <c r="I2" s="473"/>
      <c r="J2" s="474"/>
      <c r="K2" s="474"/>
      <c r="L2" s="474"/>
      <c r="M2" s="474"/>
      <c r="N2" s="472"/>
      <c r="O2" s="3739">
        <f>N16-O16</f>
        <v>493973</v>
      </c>
      <c r="P2" s="2373">
        <v>0.315</v>
      </c>
      <c r="Q2" s="2373">
        <v>0.4</v>
      </c>
      <c r="R2" s="2376">
        <f>Q2</f>
        <v>0.4</v>
      </c>
      <c r="S2" s="2376">
        <f>R2</f>
        <v>0.4</v>
      </c>
      <c r="T2" s="2376">
        <f>S2</f>
        <v>0.4</v>
      </c>
      <c r="U2" s="590"/>
      <c r="V2" s="590"/>
      <c r="W2" s="590"/>
      <c r="X2" s="590"/>
      <c r="Y2" s="590"/>
      <c r="Z2" s="590"/>
      <c r="AA2" s="590"/>
      <c r="AB2" s="590"/>
      <c r="AC2" s="590"/>
      <c r="AD2" s="590"/>
      <c r="AE2" s="590"/>
      <c r="AF2" s="591"/>
      <c r="AG2" s="590"/>
      <c r="AH2" s="590"/>
      <c r="AI2" s="590"/>
      <c r="AJ2" s="590"/>
      <c r="AK2" s="590"/>
      <c r="AL2" s="590"/>
      <c r="AM2" s="5099">
        <v>1.4</v>
      </c>
      <c r="AN2" s="591"/>
      <c r="AO2" s="594"/>
      <c r="AP2" s="594"/>
      <c r="AQ2" s="594"/>
      <c r="AR2" s="594"/>
      <c r="AS2" s="594"/>
      <c r="AT2" s="2130"/>
      <c r="AU2" s="2130"/>
      <c r="AV2" s="2130"/>
      <c r="AW2" s="2130"/>
      <c r="AX2" s="2130"/>
      <c r="AY2" s="2130"/>
      <c r="AZ2" s="2130"/>
      <c r="BA2" s="2130"/>
      <c r="BB2" s="2130"/>
      <c r="BC2" s="472"/>
      <c r="BD2" s="472"/>
      <c r="BE2" s="472"/>
      <c r="BF2" s="472"/>
      <c r="BG2" s="472"/>
      <c r="BH2" s="472"/>
      <c r="BI2" s="472"/>
      <c r="BJ2" s="472"/>
      <c r="BK2" s="472"/>
      <c r="BL2" s="472"/>
      <c r="BM2" s="472"/>
      <c r="BN2" s="472"/>
      <c r="BO2" s="472"/>
      <c r="BP2" s="472"/>
      <c r="BQ2" s="472"/>
      <c r="BR2" s="472"/>
      <c r="BS2" s="472"/>
      <c r="BT2" s="472"/>
      <c r="BU2" s="472"/>
      <c r="BV2" s="472"/>
      <c r="BW2" s="472"/>
      <c r="BX2" s="472"/>
      <c r="BY2" s="472"/>
      <c r="BZ2" s="472"/>
      <c r="CA2" s="472"/>
      <c r="CB2" s="472"/>
    </row>
    <row r="3" spans="1:100" ht="29.4" thickBot="1">
      <c r="A3" s="475" t="s">
        <v>118</v>
      </c>
      <c r="B3" s="476">
        <v>2007</v>
      </c>
      <c r="C3" s="476">
        <v>2008</v>
      </c>
      <c r="D3" s="476">
        <v>2009</v>
      </c>
      <c r="E3" s="476">
        <v>2010</v>
      </c>
      <c r="F3" s="476">
        <v>2011</v>
      </c>
      <c r="G3" s="476">
        <v>2012</v>
      </c>
      <c r="H3" s="476">
        <v>2013</v>
      </c>
      <c r="I3" s="1316">
        <v>2014</v>
      </c>
      <c r="J3" s="1316">
        <v>2015</v>
      </c>
      <c r="K3" s="1316">
        <v>2016</v>
      </c>
      <c r="L3" s="1316">
        <v>2017</v>
      </c>
      <c r="M3" s="1316">
        <v>2018</v>
      </c>
      <c r="N3" s="651">
        <v>2019</v>
      </c>
      <c r="O3" s="476">
        <v>2020</v>
      </c>
      <c r="P3" s="1316">
        <v>2021</v>
      </c>
      <c r="Q3" s="3740" t="s">
        <v>835</v>
      </c>
      <c r="R3" s="574" t="s">
        <v>836</v>
      </c>
      <c r="S3" s="574" t="s">
        <v>837</v>
      </c>
      <c r="T3" s="574" t="s">
        <v>838</v>
      </c>
      <c r="U3" s="1011"/>
      <c r="V3" s="1026" t="s">
        <v>869</v>
      </c>
      <c r="W3" s="5364" t="s">
        <v>814</v>
      </c>
      <c r="X3" s="5364"/>
      <c r="Y3" s="1027" t="s">
        <v>870</v>
      </c>
      <c r="Z3" s="2111" t="s">
        <v>1374</v>
      </c>
      <c r="AA3" s="5365" t="s">
        <v>814</v>
      </c>
      <c r="AB3" s="5365"/>
      <c r="AC3" s="2112" t="s">
        <v>1373</v>
      </c>
      <c r="AD3" s="2355" t="s">
        <v>1442</v>
      </c>
      <c r="AE3" s="5366" t="s">
        <v>814</v>
      </c>
      <c r="AF3" s="5366"/>
      <c r="AG3" s="2356" t="s">
        <v>1443</v>
      </c>
      <c r="AH3" s="3743" t="s">
        <v>1583</v>
      </c>
      <c r="AI3" s="4730" t="s">
        <v>1925</v>
      </c>
      <c r="AJ3" s="5369" t="s">
        <v>814</v>
      </c>
      <c r="AK3" s="5369"/>
      <c r="AL3" s="3744" t="s">
        <v>1584</v>
      </c>
      <c r="AM3" s="5101" t="s">
        <v>1986</v>
      </c>
      <c r="AN3" s="5092"/>
      <c r="AO3" s="1022" t="s">
        <v>574</v>
      </c>
      <c r="AP3" s="1022" t="s">
        <v>787</v>
      </c>
      <c r="AQ3" s="1022" t="s">
        <v>1445</v>
      </c>
      <c r="AR3" s="1022" t="s">
        <v>1446</v>
      </c>
      <c r="AS3" s="2371" t="s">
        <v>1444</v>
      </c>
      <c r="AT3" s="2131" t="s">
        <v>1449</v>
      </c>
      <c r="AU3" s="2132" t="s">
        <v>1448</v>
      </c>
      <c r="AV3" s="2133" t="s">
        <v>1447</v>
      </c>
      <c r="AW3" s="2366" t="s">
        <v>1450</v>
      </c>
      <c r="AX3" s="2367" t="s">
        <v>1451</v>
      </c>
      <c r="AY3" s="2368" t="s">
        <v>1452</v>
      </c>
      <c r="AZ3" s="3760" t="s">
        <v>1585</v>
      </c>
      <c r="BA3" s="3761" t="s">
        <v>1586</v>
      </c>
      <c r="BB3" s="3762" t="s">
        <v>1587</v>
      </c>
      <c r="BC3" s="477"/>
      <c r="BD3" s="477"/>
      <c r="BE3" s="477"/>
      <c r="BF3" s="477"/>
      <c r="BG3" s="477"/>
      <c r="BH3" s="477"/>
      <c r="BI3" s="477"/>
      <c r="BJ3" s="477"/>
      <c r="BK3" s="477"/>
      <c r="BL3" s="477"/>
      <c r="BM3" s="477"/>
      <c r="BN3" s="477"/>
      <c r="BO3" s="477"/>
      <c r="BP3" s="477"/>
      <c r="BQ3" s="477"/>
      <c r="BR3" s="477"/>
      <c r="BS3" s="477"/>
      <c r="BT3" s="477"/>
      <c r="BU3" s="477"/>
      <c r="BV3" s="477"/>
      <c r="BW3" s="477"/>
      <c r="BX3" s="477"/>
      <c r="BY3" s="477"/>
      <c r="BZ3" s="477"/>
      <c r="CA3" s="477"/>
      <c r="CB3" s="477"/>
    </row>
    <row r="4" spans="1:100" ht="15" customHeight="1" thickBot="1">
      <c r="A4" s="478" t="s">
        <v>36</v>
      </c>
      <c r="B4" s="479">
        <v>29447</v>
      </c>
      <c r="C4" s="479">
        <v>34991</v>
      </c>
      <c r="D4" s="479">
        <v>35904</v>
      </c>
      <c r="E4" s="479">
        <v>38603</v>
      </c>
      <c r="F4" s="479">
        <v>37463</v>
      </c>
      <c r="G4" s="479">
        <v>37773</v>
      </c>
      <c r="H4" s="479">
        <v>46137</v>
      </c>
      <c r="I4" s="479">
        <v>51688</v>
      </c>
      <c r="J4" s="479">
        <v>58224</v>
      </c>
      <c r="K4" s="479">
        <v>52833</v>
      </c>
      <c r="L4" s="479">
        <v>50621</v>
      </c>
      <c r="M4" s="479">
        <v>53007</v>
      </c>
      <c r="N4" s="1317">
        <v>52978</v>
      </c>
      <c r="O4" s="2374">
        <v>57800</v>
      </c>
      <c r="P4" s="1012">
        <v>14237</v>
      </c>
      <c r="Q4" s="4498">
        <v>31435</v>
      </c>
      <c r="R4" s="676">
        <f>(Q4*$R$2)+Q4</f>
        <v>44009</v>
      </c>
      <c r="S4" s="676">
        <f>(R4*$S$2)+R4</f>
        <v>61612.600000000006</v>
      </c>
      <c r="T4" s="676">
        <f>(S4*$T$2)+S4</f>
        <v>86257.640000000014</v>
      </c>
      <c r="U4" s="1012"/>
      <c r="V4" s="1028">
        <v>2120.2799999999988</v>
      </c>
      <c r="W4" s="1029">
        <f t="shared" ref="W4:W15" si="0">N4-M4</f>
        <v>-29</v>
      </c>
      <c r="X4" s="1779">
        <f>IF(W4&lt;0,0,IF(W4=V4,0,W4))</f>
        <v>0</v>
      </c>
      <c r="Y4" s="2049" t="s">
        <v>1060</v>
      </c>
      <c r="Z4" s="2151">
        <v>500</v>
      </c>
      <c r="AA4" s="2152">
        <f t="shared" ref="AA4:AA15" si="1">O4-N4</f>
        <v>4822</v>
      </c>
      <c r="AB4" s="2156">
        <f>IF(AA4&lt;0,0,IF(AA4=Z4,0,AA4))</f>
        <v>4822</v>
      </c>
      <c r="AC4" s="2153" t="s">
        <v>1356</v>
      </c>
      <c r="AD4" s="2351">
        <v>0</v>
      </c>
      <c r="AE4" s="2370">
        <f>P4-O4</f>
        <v>-43563</v>
      </c>
      <c r="AF4" s="2352">
        <f>IF(AE4&lt;0,0,IF(AE4=AD4,0,AE4))</f>
        <v>0</v>
      </c>
      <c r="AG4" s="3634" t="s">
        <v>1460</v>
      </c>
      <c r="AH4" s="4749">
        <v>4194</v>
      </c>
      <c r="AI4" s="4737">
        <f>IF(AJ4&gt;=AH4,1,AJ4/AH4)</f>
        <v>1</v>
      </c>
      <c r="AJ4" s="4499">
        <f>Q4-P4</f>
        <v>17198</v>
      </c>
      <c r="AK4" s="3750">
        <f>IF(AJ4&lt;0,0,IF(AJ4=AH4,AH4,AJ4))</f>
        <v>17198</v>
      </c>
      <c r="AL4" s="4695" t="s">
        <v>1581</v>
      </c>
      <c r="AM4" s="5102">
        <f>Q4</f>
        <v>31435</v>
      </c>
      <c r="AN4" s="5094">
        <f>(P4+AH4-Q4)*-1</f>
        <v>13004</v>
      </c>
      <c r="AO4" s="1023">
        <f t="shared" ref="AO4:AO15" si="2">L4/$L$16</f>
        <v>7.7528865990433904E-2</v>
      </c>
      <c r="AP4" s="1023">
        <f t="shared" ref="AP4:AP15" si="3">M4/$M$16</f>
        <v>7.6545288609832313E-2</v>
      </c>
      <c r="AQ4" s="1023">
        <f t="shared" ref="AQ4:AQ15" si="4">N4/$N$16</f>
        <v>7.7409079618346269E-2</v>
      </c>
      <c r="AR4" s="1023">
        <f t="shared" ref="AR4:AR15" si="5">O4/$O$16</f>
        <v>0.30354432639942863</v>
      </c>
      <c r="AS4" s="1023">
        <f>P4/$P$16</f>
        <v>5.0666201654116075E-2</v>
      </c>
      <c r="AT4" s="2154">
        <f t="shared" ref="AT4:AT16" si="6">O4-N4</f>
        <v>4822</v>
      </c>
      <c r="AU4" s="2157">
        <f t="shared" ref="AU4:AU16" si="7">O4/N4-1</f>
        <v>9.1018913511268895E-2</v>
      </c>
      <c r="AV4" s="2155"/>
      <c r="AW4" s="2360">
        <f>P4-O4</f>
        <v>-43563</v>
      </c>
      <c r="AX4" s="2361">
        <f>P4/O4-1</f>
        <v>-0.75368512110726638</v>
      </c>
      <c r="AY4" s="2362"/>
      <c r="AZ4" s="3759">
        <f>Q4-P4</f>
        <v>17198</v>
      </c>
      <c r="BA4" s="4729">
        <f>Q4/P4-1</f>
        <v>1.2079792091030415</v>
      </c>
      <c r="BB4" s="3755"/>
      <c r="BC4" s="472"/>
      <c r="BD4" s="472"/>
      <c r="BE4" s="472"/>
      <c r="BF4" s="472"/>
      <c r="BG4" s="472"/>
      <c r="BH4" s="472"/>
      <c r="BI4" s="472"/>
      <c r="BJ4" s="472"/>
      <c r="BK4" s="472"/>
      <c r="BL4" s="472"/>
      <c r="BM4" s="472"/>
      <c r="BN4" s="472"/>
      <c r="BO4" s="472"/>
      <c r="BP4" s="472"/>
      <c r="BQ4" s="472"/>
      <c r="BR4" s="472"/>
      <c r="BS4" s="472"/>
      <c r="BT4" s="472"/>
      <c r="BU4" s="472"/>
      <c r="BV4" s="472"/>
      <c r="BW4" s="472"/>
      <c r="BX4" s="472"/>
      <c r="BY4" s="472"/>
      <c r="BZ4" s="472"/>
      <c r="CA4" s="472"/>
      <c r="CB4" s="472"/>
    </row>
    <row r="5" spans="1:100" ht="15" customHeight="1" thickBot="1">
      <c r="A5" s="478" t="s">
        <v>37</v>
      </c>
      <c r="B5" s="479">
        <v>29249</v>
      </c>
      <c r="C5" s="479">
        <v>46490</v>
      </c>
      <c r="D5" s="479">
        <v>32995</v>
      </c>
      <c r="E5" s="479">
        <v>39843</v>
      </c>
      <c r="F5" s="479">
        <v>35978</v>
      </c>
      <c r="G5" s="479">
        <v>35654</v>
      </c>
      <c r="H5" s="479">
        <v>43174</v>
      </c>
      <c r="I5" s="479">
        <v>53622</v>
      </c>
      <c r="J5" s="479">
        <v>53321</v>
      </c>
      <c r="K5" s="479">
        <v>51438</v>
      </c>
      <c r="L5" s="479">
        <v>47440</v>
      </c>
      <c r="M5" s="479">
        <v>52567</v>
      </c>
      <c r="N5" s="1317">
        <v>51944</v>
      </c>
      <c r="O5" s="2374">
        <v>54899</v>
      </c>
      <c r="P5" s="1012">
        <v>10895</v>
      </c>
      <c r="Q5" s="4498">
        <v>33370</v>
      </c>
      <c r="R5" s="676">
        <f t="shared" ref="R5:R15" si="8">(Q5*$R$2)+Q5</f>
        <v>46718</v>
      </c>
      <c r="S5" s="676">
        <f t="shared" ref="S5:S15" si="9">(R5*$S$2)+R5</f>
        <v>65405.2</v>
      </c>
      <c r="T5" s="676">
        <f t="shared" ref="T5:T15" si="10">(S5*$T$2)+S5</f>
        <v>91567.28</v>
      </c>
      <c r="U5" s="1012"/>
      <c r="V5" s="1028">
        <v>2102.6800000000003</v>
      </c>
      <c r="W5" s="1029">
        <f t="shared" si="0"/>
        <v>-623</v>
      </c>
      <c r="X5" s="1779">
        <f t="shared" ref="X5:X15" si="11">IF(W5&lt;0,0,IF(W5=V5,0,W5))</f>
        <v>0</v>
      </c>
      <c r="Y5" s="2049" t="s">
        <v>1087</v>
      </c>
      <c r="Z5" s="2151">
        <v>1000</v>
      </c>
      <c r="AA5" s="2152">
        <f t="shared" si="1"/>
        <v>2955</v>
      </c>
      <c r="AB5" s="2156">
        <f>IF(AA5&lt;0,0,IF(AA5=Z5,0,AA5))</f>
        <v>2955</v>
      </c>
      <c r="AC5" s="2153" t="s">
        <v>1356</v>
      </c>
      <c r="AD5" s="2351">
        <v>1000</v>
      </c>
      <c r="AE5" s="2370">
        <f t="shared" ref="AE5:AE15" si="12">P5-O5</f>
        <v>-44004</v>
      </c>
      <c r="AF5" s="2352">
        <f>IF(AE5&lt;0,0,IF(AE5=AD5,0,AE5))</f>
        <v>0</v>
      </c>
      <c r="AG5" s="3634" t="s">
        <v>1460</v>
      </c>
      <c r="AH5" s="4750">
        <v>3358</v>
      </c>
      <c r="AI5" s="4738">
        <f>IF(AJ5&gt;=AH5,1,AJ5/AH5)</f>
        <v>1</v>
      </c>
      <c r="AJ5" s="4693">
        <f t="shared" ref="AJ5:AJ17" si="13">Q5-P5</f>
        <v>22475</v>
      </c>
      <c r="AK5" s="4694">
        <f t="shared" ref="AK5:AK15" si="14">IF(AJ5&lt;0,0,IF(AJ5=AH5,AH5,AJ5))</f>
        <v>22475</v>
      </c>
      <c r="AL5" s="4728" t="s">
        <v>1581</v>
      </c>
      <c r="AM5" s="5102">
        <f>Q5</f>
        <v>33370</v>
      </c>
      <c r="AN5" s="5094">
        <f>(P5+AH5-Q5)*-1</f>
        <v>19117</v>
      </c>
      <c r="AO5" s="1023">
        <f t="shared" si="2"/>
        <v>7.2656988257564739E-2</v>
      </c>
      <c r="AP5" s="1023">
        <f t="shared" si="3"/>
        <v>7.5909902208256552E-2</v>
      </c>
      <c r="AQ5" s="1023">
        <f t="shared" si="4"/>
        <v>7.5898245152617658E-2</v>
      </c>
      <c r="AR5" s="1023">
        <f t="shared" si="5"/>
        <v>0.2883093421280663</v>
      </c>
      <c r="AS5" s="1023">
        <f t="shared" ref="AS5:AS15" si="15">P5/$P$16</f>
        <v>3.8772793918774646E-2</v>
      </c>
      <c r="AT5" s="2154">
        <f t="shared" si="6"/>
        <v>2955</v>
      </c>
      <c r="AU5" s="2157">
        <f t="shared" si="7"/>
        <v>5.6888187278607782E-2</v>
      </c>
      <c r="AV5" s="2155">
        <f>(SUM(O4:O5)/(SUM(N4:N5)))-1</f>
        <v>7.4121728522140273E-2</v>
      </c>
      <c r="AW5" s="2360">
        <f t="shared" ref="AW5:AW16" si="16">P5-O5</f>
        <v>-44004</v>
      </c>
      <c r="AX5" s="2361">
        <f t="shared" ref="AX5:AX16" si="17">P5/O5-1</f>
        <v>-0.80154465472959435</v>
      </c>
      <c r="AY5" s="2362">
        <f>(SUM(P4:P5)/(SUM(O4:O5)))-1</f>
        <v>-0.77699890859723686</v>
      </c>
      <c r="AZ5" s="3759">
        <f t="shared" ref="AZ5:AZ15" si="18">Q5-P5</f>
        <v>22475</v>
      </c>
      <c r="BA5" s="4729">
        <f t="shared" ref="BA5:BA15" si="19">Q5/P5-1</f>
        <v>2.0628728774667278</v>
      </c>
      <c r="BB5" s="3755">
        <f>(SUM(Q4:Q5)/(SUM(P4:P5)))-1</f>
        <v>1.5785850708260387</v>
      </c>
      <c r="BC5" s="472"/>
      <c r="BD5" s="472"/>
      <c r="BE5" s="472"/>
      <c r="BF5" s="472"/>
      <c r="BG5" s="472"/>
      <c r="BH5" s="472"/>
      <c r="BI5" s="472"/>
      <c r="BJ5" s="472"/>
      <c r="BK5" s="472"/>
      <c r="BL5" s="472"/>
      <c r="BM5" s="472"/>
      <c r="BN5" s="472"/>
      <c r="BO5" s="472"/>
      <c r="BP5" s="472"/>
      <c r="BQ5" s="472"/>
      <c r="BR5" s="472"/>
      <c r="BS5" s="472"/>
      <c r="BT5" s="472"/>
      <c r="BU5" s="472"/>
      <c r="BV5" s="472"/>
      <c r="BW5" s="472"/>
      <c r="BX5" s="472"/>
      <c r="BY5" s="472"/>
      <c r="BZ5" s="472"/>
      <c r="CA5" s="472"/>
      <c r="CB5" s="472"/>
      <c r="CC5" s="4500"/>
      <c r="CD5" s="4500"/>
      <c r="CE5" s="4500"/>
      <c r="CF5" s="4500"/>
      <c r="CG5" s="4500"/>
      <c r="CH5" s="4500"/>
      <c r="CI5" s="4500"/>
      <c r="CJ5" s="4500"/>
      <c r="CK5" s="4500"/>
      <c r="CL5" s="4500"/>
      <c r="CM5" s="4500"/>
      <c r="CN5" s="4500"/>
      <c r="CO5" s="4500"/>
      <c r="CP5" s="4500"/>
      <c r="CQ5" s="4500"/>
      <c r="CR5" s="4500"/>
      <c r="CS5" s="4500"/>
      <c r="CT5" s="4500"/>
      <c r="CU5" s="4500"/>
      <c r="CV5" s="4500"/>
    </row>
    <row r="6" spans="1:100" ht="15" customHeight="1" thickBot="1">
      <c r="A6" s="478" t="s">
        <v>38</v>
      </c>
      <c r="B6" s="479">
        <v>32536</v>
      </c>
      <c r="C6" s="479">
        <v>36805</v>
      </c>
      <c r="D6" s="479">
        <v>34242</v>
      </c>
      <c r="E6" s="479">
        <v>38029</v>
      </c>
      <c r="F6" s="479">
        <v>39415</v>
      </c>
      <c r="G6" s="479">
        <v>40663</v>
      </c>
      <c r="H6" s="479">
        <v>49027</v>
      </c>
      <c r="I6" s="479">
        <v>51748</v>
      </c>
      <c r="J6" s="479">
        <v>59393</v>
      </c>
      <c r="K6" s="479">
        <v>54420</v>
      </c>
      <c r="L6" s="479">
        <v>53030</v>
      </c>
      <c r="M6" s="479">
        <v>58154</v>
      </c>
      <c r="N6" s="1317">
        <v>54670</v>
      </c>
      <c r="O6" s="2374">
        <v>22206</v>
      </c>
      <c r="P6" s="1012">
        <v>13935</v>
      </c>
      <c r="Q6" s="4498">
        <v>38123</v>
      </c>
      <c r="R6" s="676">
        <f t="shared" si="8"/>
        <v>53372.2</v>
      </c>
      <c r="S6" s="676">
        <f t="shared" si="9"/>
        <v>74721.08</v>
      </c>
      <c r="T6" s="676">
        <f t="shared" si="10"/>
        <v>104609.512</v>
      </c>
      <c r="U6" s="1012"/>
      <c r="V6" s="1028">
        <v>2326.1600000000035</v>
      </c>
      <c r="W6" s="1029">
        <f t="shared" si="0"/>
        <v>-3484</v>
      </c>
      <c r="X6" s="1779">
        <f t="shared" si="11"/>
        <v>0</v>
      </c>
      <c r="Y6" s="2049" t="s">
        <v>1122</v>
      </c>
      <c r="Z6" s="2151">
        <v>1000</v>
      </c>
      <c r="AA6" s="2152">
        <f t="shared" si="1"/>
        <v>-32464</v>
      </c>
      <c r="AB6" s="2156">
        <f>IF(AA6&lt;0,0,IF(AA6=Z6,0,AA6))</f>
        <v>0</v>
      </c>
      <c r="AC6" s="2153" t="s">
        <v>1356</v>
      </c>
      <c r="AD6" s="2351">
        <v>1000</v>
      </c>
      <c r="AE6" s="2370">
        <f t="shared" si="12"/>
        <v>-8271</v>
      </c>
      <c r="AF6" s="2352">
        <f>IF(AE6&lt;0,0,IF(AE6=AD6,0,AE6))</f>
        <v>0</v>
      </c>
      <c r="AG6" s="3634" t="s">
        <v>1460</v>
      </c>
      <c r="AH6" s="4750">
        <f t="shared" ref="AH6:AH12" si="20">P6*$Q$2</f>
        <v>5574</v>
      </c>
      <c r="AI6" s="4738">
        <f>IF(AJ6&gt;=AH6,1,AJ6/AH6)</f>
        <v>1</v>
      </c>
      <c r="AJ6" s="4693">
        <f t="shared" si="13"/>
        <v>24188</v>
      </c>
      <c r="AK6" s="4694">
        <f t="shared" si="14"/>
        <v>24188</v>
      </c>
      <c r="AL6" s="4728" t="s">
        <v>1581</v>
      </c>
      <c r="AM6" s="5102">
        <f>Q6</f>
        <v>38123</v>
      </c>
      <c r="AN6" s="5094">
        <f>(P6+AH6-Q6)*-1</f>
        <v>18614</v>
      </c>
      <c r="AO6" s="1023">
        <f t="shared" si="2"/>
        <v>8.1218382953175752E-2</v>
      </c>
      <c r="AP6" s="1023">
        <f t="shared" si="3"/>
        <v>8.3977865448265104E-2</v>
      </c>
      <c r="AQ6" s="1023">
        <f t="shared" si="4"/>
        <v>7.9881354198629434E-2</v>
      </c>
      <c r="AR6" s="1023">
        <f t="shared" si="5"/>
        <v>0.11661773896238256</v>
      </c>
      <c r="AS6" s="1023">
        <f t="shared" si="15"/>
        <v>4.9591453259121128E-2</v>
      </c>
      <c r="AT6" s="2154">
        <f t="shared" si="6"/>
        <v>-32464</v>
      </c>
      <c r="AU6" s="2157">
        <f t="shared" si="7"/>
        <v>-0.59381745015547827</v>
      </c>
      <c r="AV6" s="2155">
        <f>(SUM(O4:O6)/(SUM(N4:N6)))-1</f>
        <v>-0.15468820492255253</v>
      </c>
      <c r="AW6" s="2360">
        <f t="shared" si="16"/>
        <v>-8271</v>
      </c>
      <c r="AX6" s="2361">
        <f t="shared" si="17"/>
        <v>-0.37246690083761147</v>
      </c>
      <c r="AY6" s="2362">
        <f>(SUM(P4:P6)/(SUM(O4:O6)))-1</f>
        <v>-0.71041102998406291</v>
      </c>
      <c r="AZ6" s="3759">
        <f t="shared" si="18"/>
        <v>24188</v>
      </c>
      <c r="BA6" s="4729">
        <f t="shared" si="19"/>
        <v>1.7357732328668818</v>
      </c>
      <c r="BB6" s="3755">
        <f>(SUM(Q4:Q6)/(SUM(P4:P6)))-1</f>
        <v>1.6346532879412292</v>
      </c>
      <c r="BC6" s="472"/>
      <c r="BD6" s="472"/>
      <c r="BE6" s="472"/>
      <c r="BF6" s="472"/>
      <c r="BG6" s="472"/>
      <c r="BH6" s="472"/>
      <c r="BI6" s="472"/>
      <c r="BJ6" s="472"/>
      <c r="BK6" s="472"/>
      <c r="BL6" s="472"/>
      <c r="BM6" s="472"/>
      <c r="BN6" s="472"/>
      <c r="BO6" s="472"/>
      <c r="BP6" s="472"/>
      <c r="BQ6" s="472"/>
      <c r="BR6" s="472"/>
      <c r="BS6" s="472"/>
      <c r="BT6" s="472"/>
      <c r="BU6" s="472"/>
      <c r="BV6" s="472"/>
      <c r="BW6" s="472"/>
      <c r="BX6" s="472"/>
      <c r="BY6" s="472"/>
      <c r="BZ6" s="472"/>
      <c r="CA6" s="472"/>
      <c r="CB6" s="472"/>
      <c r="CC6" s="4500"/>
      <c r="CD6" s="4500"/>
      <c r="CE6" s="4500"/>
      <c r="CF6" s="4500"/>
      <c r="CG6" s="4500"/>
      <c r="CH6" s="4500"/>
      <c r="CI6" s="4500"/>
      <c r="CJ6" s="4500"/>
      <c r="CK6" s="4500"/>
      <c r="CL6" s="4500"/>
      <c r="CM6" s="4500"/>
      <c r="CN6" s="4500"/>
      <c r="CO6" s="4500"/>
      <c r="CP6" s="4500"/>
      <c r="CQ6" s="4500"/>
      <c r="CR6" s="4500"/>
      <c r="CS6" s="4500"/>
      <c r="CT6" s="4500"/>
      <c r="CU6" s="4500"/>
      <c r="CV6" s="4500"/>
    </row>
    <row r="7" spans="1:100" ht="15" customHeight="1" thickBot="1">
      <c r="A7" s="478" t="s">
        <v>39</v>
      </c>
      <c r="B7" s="479">
        <v>26929</v>
      </c>
      <c r="C7" s="479">
        <v>31105</v>
      </c>
      <c r="D7" s="479">
        <v>33161</v>
      </c>
      <c r="E7" s="479">
        <v>31598</v>
      </c>
      <c r="F7" s="479">
        <v>35949</v>
      </c>
      <c r="G7" s="479">
        <v>36524</v>
      </c>
      <c r="H7" s="479">
        <v>41634</v>
      </c>
      <c r="I7" s="479">
        <v>49570</v>
      </c>
      <c r="J7" s="479">
        <v>53854</v>
      </c>
      <c r="K7" s="479">
        <v>40983</v>
      </c>
      <c r="L7" s="479">
        <v>50212</v>
      </c>
      <c r="M7" s="479">
        <v>47644</v>
      </c>
      <c r="N7" s="1317">
        <v>53311</v>
      </c>
      <c r="O7" s="2374">
        <v>379</v>
      </c>
      <c r="P7" s="1012">
        <v>13232</v>
      </c>
      <c r="Q7" s="4498">
        <v>41841</v>
      </c>
      <c r="R7" s="676">
        <f t="shared" si="8"/>
        <v>58577.4</v>
      </c>
      <c r="S7" s="676">
        <f t="shared" si="9"/>
        <v>82008.36</v>
      </c>
      <c r="T7" s="676">
        <f t="shared" si="10"/>
        <v>114811.704</v>
      </c>
      <c r="U7" s="1012"/>
      <c r="V7" s="1028">
        <v>567</v>
      </c>
      <c r="W7" s="1029">
        <f t="shared" si="0"/>
        <v>5667</v>
      </c>
      <c r="X7" s="1779">
        <f t="shared" si="11"/>
        <v>5667</v>
      </c>
      <c r="Y7" s="2049" t="s">
        <v>1132</v>
      </c>
      <c r="Z7" s="2151">
        <v>1000</v>
      </c>
      <c r="AA7" s="2152">
        <f t="shared" si="1"/>
        <v>-52932</v>
      </c>
      <c r="AB7" s="2156">
        <f>IF(AA7&lt;0,0,IF(AA7=Z7,0,AA7))</f>
        <v>0</v>
      </c>
      <c r="AC7" s="2153" t="s">
        <v>1402</v>
      </c>
      <c r="AD7" s="2351">
        <v>1583</v>
      </c>
      <c r="AE7" s="2370">
        <f t="shared" si="12"/>
        <v>12853</v>
      </c>
      <c r="AF7" s="2352">
        <f>IF(AE7&lt;0,0,IF(AE7=AD7,0,AE7))</f>
        <v>12853</v>
      </c>
      <c r="AG7" s="3634" t="s">
        <v>1356</v>
      </c>
      <c r="AH7" s="4750">
        <f t="shared" si="20"/>
        <v>5292.8</v>
      </c>
      <c r="AI7" s="4738">
        <f>IF(AJ7&gt;=AH7,1,AJ7/AH7)</f>
        <v>1</v>
      </c>
      <c r="AJ7" s="4693">
        <f t="shared" si="13"/>
        <v>28609</v>
      </c>
      <c r="AK7" s="4694">
        <f t="shared" si="14"/>
        <v>28609</v>
      </c>
      <c r="AL7" s="4728" t="s">
        <v>1581</v>
      </c>
      <c r="AM7" s="5102">
        <f>Q7</f>
        <v>41841</v>
      </c>
      <c r="AN7" s="5094">
        <f>(P7+AH7-Q7)*-1</f>
        <v>23316.2</v>
      </c>
      <c r="AO7" s="1023">
        <f t="shared" si="2"/>
        <v>7.6902459831130698E-2</v>
      </c>
      <c r="AP7" s="1023">
        <f t="shared" si="3"/>
        <v>6.8800794810625968E-2</v>
      </c>
      <c r="AQ7" s="1023">
        <f t="shared" si="4"/>
        <v>7.7895644296380726E-2</v>
      </c>
      <c r="AR7" s="1023">
        <f t="shared" si="5"/>
        <v>1.9903685070135546E-3</v>
      </c>
      <c r="AS7" s="1023">
        <f t="shared" si="15"/>
        <v>4.7089638286666E-2</v>
      </c>
      <c r="AT7" s="2154">
        <f t="shared" si="6"/>
        <v>-52932</v>
      </c>
      <c r="AU7" s="2157">
        <f t="shared" si="7"/>
        <v>-0.99289077301119844</v>
      </c>
      <c r="AV7" s="2155">
        <f>(SUM(O4:O7)/(SUM(N4:N7)))-1</f>
        <v>-0.36457447757899142</v>
      </c>
      <c r="AW7" s="2360">
        <f t="shared" si="16"/>
        <v>12853</v>
      </c>
      <c r="AX7" s="2361">
        <f t="shared" si="17"/>
        <v>33.912928759894456</v>
      </c>
      <c r="AY7" s="2362">
        <f>(SUM(P4:P7)/(SUM(O4:O7)))-1</f>
        <v>-0.61341326394843443</v>
      </c>
      <c r="AZ7" s="3759">
        <f t="shared" si="18"/>
        <v>28609</v>
      </c>
      <c r="BA7" s="4729">
        <f t="shared" si="19"/>
        <v>2.1621070133010885</v>
      </c>
      <c r="BB7" s="3755">
        <f>(SUM(Q4:Q7)/(SUM(P4:P7)))-1</f>
        <v>1.768102640585862</v>
      </c>
      <c r="BC7" s="472"/>
      <c r="BD7" s="472"/>
      <c r="BE7" s="472"/>
      <c r="BF7" s="472"/>
      <c r="BG7" s="472"/>
      <c r="BH7" s="472"/>
      <c r="BI7" s="472"/>
      <c r="BJ7" s="472"/>
      <c r="BK7" s="472"/>
      <c r="BL7" s="472"/>
      <c r="BM7" s="472"/>
      <c r="BN7" s="472"/>
      <c r="BO7" s="472"/>
      <c r="BP7" s="472"/>
      <c r="BQ7" s="472"/>
      <c r="BR7" s="472"/>
      <c r="BS7" s="472"/>
      <c r="BT7" s="472"/>
      <c r="BU7" s="472"/>
      <c r="BV7" s="472"/>
      <c r="BW7" s="472"/>
      <c r="BX7" s="472"/>
      <c r="BY7" s="472"/>
      <c r="BZ7" s="472"/>
      <c r="CA7" s="472"/>
      <c r="CB7" s="472"/>
      <c r="CC7" s="4500"/>
      <c r="CD7" s="4500"/>
      <c r="CE7" s="4500"/>
      <c r="CF7" s="4500"/>
      <c r="CG7" s="4500"/>
      <c r="CH7" s="4500"/>
      <c r="CI7" s="4500"/>
      <c r="CJ7" s="4500"/>
      <c r="CK7" s="4500"/>
      <c r="CL7" s="4500"/>
      <c r="CM7" s="4500"/>
      <c r="CN7" s="4500"/>
      <c r="CO7" s="4500"/>
      <c r="CP7" s="4500"/>
      <c r="CQ7" s="4500"/>
      <c r="CR7" s="4500"/>
      <c r="CS7" s="4500"/>
      <c r="CT7" s="4500"/>
      <c r="CU7" s="4500"/>
      <c r="CV7" s="4500"/>
    </row>
    <row r="8" spans="1:100" s="4500" customFormat="1" ht="15" customHeight="1" thickBot="1">
      <c r="A8" s="478" t="s">
        <v>40</v>
      </c>
      <c r="B8" s="479">
        <v>28526</v>
      </c>
      <c r="C8" s="479">
        <v>35598</v>
      </c>
      <c r="D8" s="479">
        <v>32773</v>
      </c>
      <c r="E8" s="479">
        <v>37116</v>
      </c>
      <c r="F8" s="479">
        <v>38023</v>
      </c>
      <c r="G8" s="479">
        <v>40720</v>
      </c>
      <c r="H8" s="479">
        <v>48103</v>
      </c>
      <c r="I8" s="479">
        <v>52174</v>
      </c>
      <c r="J8" s="479">
        <v>56638</v>
      </c>
      <c r="K8" s="479">
        <v>46162</v>
      </c>
      <c r="L8" s="479">
        <v>47035</v>
      </c>
      <c r="M8" s="479">
        <v>53921</v>
      </c>
      <c r="N8" s="1317">
        <v>53992</v>
      </c>
      <c r="O8" s="2374">
        <v>650</v>
      </c>
      <c r="P8" s="1012">
        <v>15295</v>
      </c>
      <c r="Q8" s="4498">
        <v>43757</v>
      </c>
      <c r="R8" s="676">
        <f t="shared" si="8"/>
        <v>61259.8</v>
      </c>
      <c r="S8" s="676">
        <f t="shared" si="9"/>
        <v>85763.72</v>
      </c>
      <c r="T8" s="676">
        <f t="shared" si="10"/>
        <v>120069.20800000001</v>
      </c>
      <c r="U8" s="1012"/>
      <c r="V8" s="1028">
        <v>2156.8399999999965</v>
      </c>
      <c r="W8" s="1029">
        <f t="shared" si="0"/>
        <v>71</v>
      </c>
      <c r="X8" s="1779">
        <f>IF(W8&lt;0,0,IF(W8=V8,0,W8))</f>
        <v>71</v>
      </c>
      <c r="Y8" s="2049" t="s">
        <v>1345</v>
      </c>
      <c r="Z8" s="2151">
        <v>500</v>
      </c>
      <c r="AA8" s="2152">
        <f t="shared" si="1"/>
        <v>-53342</v>
      </c>
      <c r="AB8" s="2156">
        <f>IF(AA8&lt;0,0,IF(AA8=Z8,0,AA8))</f>
        <v>0</v>
      </c>
      <c r="AC8" s="2153" t="s">
        <v>1402</v>
      </c>
      <c r="AD8" s="2351">
        <v>7000</v>
      </c>
      <c r="AE8" s="2370">
        <f t="shared" si="12"/>
        <v>14645</v>
      </c>
      <c r="AF8" s="2352">
        <f>IF(AE8&lt;0,0,IF(AE8=AD8,0,AE8))</f>
        <v>14645</v>
      </c>
      <c r="AG8" s="3634" t="s">
        <v>1460</v>
      </c>
      <c r="AH8" s="4750">
        <v>5118</v>
      </c>
      <c r="AI8" s="4738">
        <f>IF(AJ8&gt;=AH8,1,AJ8/AH8)</f>
        <v>1</v>
      </c>
      <c r="AJ8" s="4693">
        <f t="shared" si="13"/>
        <v>28462</v>
      </c>
      <c r="AK8" s="4694">
        <f t="shared" si="14"/>
        <v>28462</v>
      </c>
      <c r="AL8" s="5120" t="s">
        <v>1581</v>
      </c>
      <c r="AM8" s="5102">
        <f>P8*$AM$2</f>
        <v>21413</v>
      </c>
      <c r="AN8" s="5094">
        <f>(P8+AH8-Q8)*-1</f>
        <v>23344</v>
      </c>
      <c r="AO8" s="1023">
        <f t="shared" si="2"/>
        <v>7.2036708319868414E-2</v>
      </c>
      <c r="AP8" s="1023">
        <f t="shared" si="3"/>
        <v>7.7865159453105598E-2</v>
      </c>
      <c r="AQ8" s="1023">
        <f t="shared" si="4"/>
        <v>7.8890690980289016E-2</v>
      </c>
      <c r="AR8" s="1023">
        <f t="shared" si="5"/>
        <v>3.4135607640074154E-3</v>
      </c>
      <c r="AS8" s="1023">
        <f t="shared" si="15"/>
        <v>5.4431379806118237E-2</v>
      </c>
      <c r="AT8" s="2154">
        <f t="shared" si="6"/>
        <v>-53342</v>
      </c>
      <c r="AU8" s="2157">
        <f t="shared" si="7"/>
        <v>-0.9879611794339902</v>
      </c>
      <c r="AV8" s="2155">
        <f>(SUM(O4:O8)/(SUM(N4:N8)))-1</f>
        <v>-0.49068360216564566</v>
      </c>
      <c r="AW8" s="2360">
        <f t="shared" si="16"/>
        <v>14645</v>
      </c>
      <c r="AX8" s="2361">
        <f t="shared" si="17"/>
        <v>22.530769230769231</v>
      </c>
      <c r="AY8" s="2362">
        <f>(SUM(P4:P8)/(SUM(O4:O8)))-1</f>
        <v>-0.50274397869554344</v>
      </c>
      <c r="AZ8" s="3759">
        <f t="shared" si="18"/>
        <v>28462</v>
      </c>
      <c r="BA8" s="4729">
        <f t="shared" si="19"/>
        <v>1.8608695652173912</v>
      </c>
      <c r="BB8" s="3755">
        <f>(SUM(Q4:Q8)/(SUM(P4:P8)))-1</f>
        <v>1.7890937065420007</v>
      </c>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row>
    <row r="9" spans="1:100" ht="15" customHeight="1" thickBot="1">
      <c r="A9" s="478" t="s">
        <v>41</v>
      </c>
      <c r="B9" s="479">
        <v>41105</v>
      </c>
      <c r="C9" s="479">
        <v>45584</v>
      </c>
      <c r="D9" s="479">
        <v>46796</v>
      </c>
      <c r="E9" s="479">
        <v>46093</v>
      </c>
      <c r="F9" s="479">
        <v>47844</v>
      </c>
      <c r="G9" s="479">
        <v>54166</v>
      </c>
      <c r="H9" s="479">
        <v>61054</v>
      </c>
      <c r="I9" s="479">
        <v>58795</v>
      </c>
      <c r="J9" s="479">
        <v>67138</v>
      </c>
      <c r="K9" s="479">
        <v>61277</v>
      </c>
      <c r="L9" s="479">
        <v>65878</v>
      </c>
      <c r="M9" s="479">
        <v>70620</v>
      </c>
      <c r="N9" s="1317">
        <v>70733</v>
      </c>
      <c r="O9" s="2374">
        <v>1431</v>
      </c>
      <c r="P9" s="1012">
        <v>22654</v>
      </c>
      <c r="Q9" s="3741">
        <f>P9+9062</f>
        <v>31716</v>
      </c>
      <c r="R9" s="676">
        <f t="shared" si="8"/>
        <v>44402.400000000001</v>
      </c>
      <c r="S9" s="676">
        <f t="shared" si="9"/>
        <v>62163.360000000001</v>
      </c>
      <c r="T9" s="676">
        <f t="shared" si="10"/>
        <v>87028.703999999998</v>
      </c>
      <c r="U9" s="1012"/>
      <c r="V9" s="1028">
        <v>120</v>
      </c>
      <c r="W9" s="1029">
        <f t="shared" si="0"/>
        <v>113</v>
      </c>
      <c r="X9" s="1779">
        <f t="shared" si="11"/>
        <v>113</v>
      </c>
      <c r="Y9" s="2049" t="s">
        <v>1345</v>
      </c>
      <c r="Z9" s="2151">
        <v>1000</v>
      </c>
      <c r="AA9" s="2152">
        <f t="shared" si="1"/>
        <v>-69302</v>
      </c>
      <c r="AB9" s="2156">
        <f t="shared" ref="AB9:AB15" si="21">IF(AA9&lt;0,0,IF(AA9=Z9,0,AA9))</f>
        <v>0</v>
      </c>
      <c r="AC9" s="2153" t="s">
        <v>1356</v>
      </c>
      <c r="AD9" s="2353">
        <v>7000</v>
      </c>
      <c r="AE9" s="2865">
        <f t="shared" si="12"/>
        <v>21223</v>
      </c>
      <c r="AF9" s="2354">
        <f t="shared" ref="AF9:AF15" si="22">IF(AE9&lt;0,0,IF(AE9=AD9,0,AE9))</f>
        <v>21223</v>
      </c>
      <c r="AG9" s="3635" t="s">
        <v>1558</v>
      </c>
      <c r="AH9" s="3751">
        <f t="shared" si="20"/>
        <v>9061.6</v>
      </c>
      <c r="AI9" s="4738"/>
      <c r="AJ9" s="3754">
        <f t="shared" si="13"/>
        <v>9062</v>
      </c>
      <c r="AK9" s="3752">
        <f t="shared" si="14"/>
        <v>9062</v>
      </c>
      <c r="AL9" s="3753"/>
      <c r="AM9" s="5103">
        <f t="shared" ref="AM9:AM15" si="23">P9*$AM$2</f>
        <v>31715.599999999999</v>
      </c>
      <c r="AN9" s="5094">
        <f t="shared" ref="AN9:AN14" si="24">(P9+AH9-Q9)*-1</f>
        <v>0.40000000000145519</v>
      </c>
      <c r="AO9" s="1023">
        <f t="shared" si="2"/>
        <v>0.10089580675446563</v>
      </c>
      <c r="AP9" s="1023">
        <f t="shared" si="3"/>
        <v>0.1019795174529092</v>
      </c>
      <c r="AQ9" s="1023">
        <f t="shared" si="4"/>
        <v>0.10335189000423735</v>
      </c>
      <c r="AR9" s="1023">
        <f t="shared" si="5"/>
        <v>7.5150853127609408E-3</v>
      </c>
      <c r="AS9" s="1023">
        <f t="shared" si="15"/>
        <v>8.0620364702700398E-2</v>
      </c>
      <c r="AT9" s="2154">
        <f t="shared" si="6"/>
        <v>-69302</v>
      </c>
      <c r="AU9" s="2157">
        <f t="shared" si="7"/>
        <v>-0.97976899042879562</v>
      </c>
      <c r="AV9" s="2155">
        <f>(SUM(O4:O9)/(SUM(N4:N9)))-1</f>
        <v>-0.59314689539967058</v>
      </c>
      <c r="AW9" s="2360">
        <f t="shared" si="16"/>
        <v>21223</v>
      </c>
      <c r="AX9" s="2878">
        <f t="shared" si="17"/>
        <v>14.83088749126485</v>
      </c>
      <c r="AY9" s="2362">
        <f>(SUM(P4:P9)/(SUM(O4:O9)))-1</f>
        <v>-0.34300586029920288</v>
      </c>
      <c r="AZ9" s="3759">
        <f t="shared" si="18"/>
        <v>9062</v>
      </c>
      <c r="BA9" s="4729">
        <f t="shared" si="19"/>
        <v>0.40001765692592928</v>
      </c>
      <c r="BB9" s="3755">
        <f>(SUM(Q4:Q9)/(SUM(P4:P9)))-1</f>
        <v>1.4404086517152734</v>
      </c>
      <c r="BC9" s="472"/>
      <c r="BD9" s="472"/>
      <c r="BE9" s="472"/>
      <c r="BF9" s="472"/>
      <c r="BG9" s="472"/>
      <c r="BH9" s="472"/>
      <c r="BI9" s="472"/>
      <c r="BJ9" s="472"/>
      <c r="BK9" s="472"/>
      <c r="BL9" s="472"/>
      <c r="BM9" s="472"/>
      <c r="BN9" s="472"/>
      <c r="BO9" s="472"/>
      <c r="BP9" s="472"/>
      <c r="BQ9" s="472"/>
      <c r="BR9" s="472"/>
      <c r="BS9" s="472"/>
      <c r="BT9" s="472"/>
      <c r="BU9" s="472"/>
      <c r="BV9" s="472"/>
      <c r="BW9" s="472"/>
      <c r="BX9" s="472"/>
      <c r="BY9" s="472"/>
      <c r="BZ9" s="472"/>
      <c r="CA9" s="472"/>
      <c r="CB9" s="472"/>
    </row>
    <row r="10" spans="1:100" ht="15" customHeight="1" thickBot="1">
      <c r="A10" s="478" t="s">
        <v>42</v>
      </c>
      <c r="B10" s="479">
        <v>49933</v>
      </c>
      <c r="C10" s="479">
        <v>50484</v>
      </c>
      <c r="D10" s="479">
        <v>50069</v>
      </c>
      <c r="E10" s="479">
        <v>49766</v>
      </c>
      <c r="F10" s="479">
        <v>51152</v>
      </c>
      <c r="G10" s="479">
        <v>56168</v>
      </c>
      <c r="H10" s="479">
        <v>64119</v>
      </c>
      <c r="I10" s="479">
        <v>71099</v>
      </c>
      <c r="J10" s="479">
        <v>73006</v>
      </c>
      <c r="K10" s="479">
        <v>66352</v>
      </c>
      <c r="L10" s="479">
        <v>70150</v>
      </c>
      <c r="M10" s="479">
        <v>72893</v>
      </c>
      <c r="N10" s="1317">
        <v>76918</v>
      </c>
      <c r="O10" s="2374">
        <v>3655</v>
      </c>
      <c r="P10" s="1012">
        <v>30018</v>
      </c>
      <c r="Q10" s="3741">
        <f>P10+12007</f>
        <v>42025</v>
      </c>
      <c r="R10" s="676">
        <f t="shared" si="8"/>
        <v>58835</v>
      </c>
      <c r="S10" s="676">
        <f t="shared" si="9"/>
        <v>82369</v>
      </c>
      <c r="T10" s="676">
        <f t="shared" si="10"/>
        <v>115316.6</v>
      </c>
      <c r="U10" s="1012"/>
      <c r="V10" s="1028">
        <v>700</v>
      </c>
      <c r="W10" s="1029">
        <f t="shared" si="0"/>
        <v>4025</v>
      </c>
      <c r="X10" s="1779">
        <f t="shared" si="11"/>
        <v>4025</v>
      </c>
      <c r="Y10" s="2049" t="s">
        <v>1345</v>
      </c>
      <c r="Z10" s="2151">
        <v>1000</v>
      </c>
      <c r="AA10" s="2152">
        <f t="shared" si="1"/>
        <v>-73263</v>
      </c>
      <c r="AB10" s="2156">
        <f t="shared" si="21"/>
        <v>0</v>
      </c>
      <c r="AC10" s="2153" t="s">
        <v>1356</v>
      </c>
      <c r="AD10" s="2353">
        <v>7000</v>
      </c>
      <c r="AE10" s="2865">
        <f t="shared" si="12"/>
        <v>26363</v>
      </c>
      <c r="AF10" s="2354">
        <f t="shared" si="22"/>
        <v>26363</v>
      </c>
      <c r="AG10" s="3635" t="s">
        <v>1356</v>
      </c>
      <c r="AH10" s="3751">
        <f t="shared" si="20"/>
        <v>12007.2</v>
      </c>
      <c r="AI10" s="4738"/>
      <c r="AJ10" s="3754">
        <f t="shared" si="13"/>
        <v>12007</v>
      </c>
      <c r="AK10" s="3752">
        <f t="shared" si="14"/>
        <v>12007</v>
      </c>
      <c r="AL10" s="3753"/>
      <c r="AM10" s="5103">
        <f t="shared" si="23"/>
        <v>42025.2</v>
      </c>
      <c r="AN10" s="5094">
        <f t="shared" si="24"/>
        <v>-0.19999999999708962</v>
      </c>
      <c r="AO10" s="1023">
        <f t="shared" si="2"/>
        <v>0.10743861143061058</v>
      </c>
      <c r="AP10" s="1023">
        <f t="shared" si="3"/>
        <v>0.10526186584104942</v>
      </c>
      <c r="AQ10" s="1023">
        <f t="shared" si="4"/>
        <v>0.11238913485001242</v>
      </c>
      <c r="AR10" s="1023">
        <f t="shared" si="5"/>
        <v>1.9194714757610927E-2</v>
      </c>
      <c r="AS10" s="1023">
        <f t="shared" si="15"/>
        <v>0.10682714344688181</v>
      </c>
      <c r="AT10" s="2154">
        <f t="shared" si="6"/>
        <v>-73263</v>
      </c>
      <c r="AU10" s="2157">
        <f t="shared" si="7"/>
        <v>-0.95248186380301103</v>
      </c>
      <c r="AV10" s="2155">
        <f>(SUM(O4:O10)/(SUM(N4:N10)))-1</f>
        <v>-0.6598206230430399</v>
      </c>
      <c r="AW10" s="2360">
        <f t="shared" si="16"/>
        <v>26363</v>
      </c>
      <c r="AX10" s="2878">
        <f t="shared" si="17"/>
        <v>7.2128590971272235</v>
      </c>
      <c r="AY10" s="2362">
        <f>(SUM(P4:P10)/(SUM(O4:O10)))-1</f>
        <v>-0.14717061409729115</v>
      </c>
      <c r="AZ10" s="3759">
        <f t="shared" si="18"/>
        <v>12007</v>
      </c>
      <c r="BA10" s="4729">
        <f t="shared" si="19"/>
        <v>0.39999333733093478</v>
      </c>
      <c r="BB10" s="3755">
        <f>(SUM(Q4:Q10)/(SUM(P4:P10)))-1</f>
        <v>1.1807243942593915</v>
      </c>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row>
    <row r="11" spans="1:100" ht="15" customHeight="1" thickBot="1">
      <c r="A11" s="478" t="s">
        <v>43</v>
      </c>
      <c r="B11" s="479">
        <v>42244</v>
      </c>
      <c r="C11" s="479">
        <v>43576</v>
      </c>
      <c r="D11" s="479">
        <v>44378</v>
      </c>
      <c r="E11" s="479">
        <v>42481</v>
      </c>
      <c r="F11" s="479">
        <v>43036</v>
      </c>
      <c r="G11" s="479">
        <v>46212</v>
      </c>
      <c r="H11" s="479">
        <v>52709</v>
      </c>
      <c r="I11" s="479">
        <v>57790</v>
      </c>
      <c r="J11" s="479">
        <v>52994</v>
      </c>
      <c r="K11" s="479">
        <v>47805</v>
      </c>
      <c r="L11" s="479">
        <v>51198</v>
      </c>
      <c r="M11" s="479">
        <v>54375</v>
      </c>
      <c r="N11" s="1317">
        <v>57411</v>
      </c>
      <c r="O11" s="2374">
        <v>4553</v>
      </c>
      <c r="P11" s="1012">
        <v>27480</v>
      </c>
      <c r="Q11" s="3741">
        <f>P11+10992</f>
        <v>38472</v>
      </c>
      <c r="R11" s="676">
        <f t="shared" si="8"/>
        <v>53860.800000000003</v>
      </c>
      <c r="S11" s="676">
        <f t="shared" si="9"/>
        <v>75405.12000000001</v>
      </c>
      <c r="T11" s="676">
        <f t="shared" si="10"/>
        <v>105567.16800000002</v>
      </c>
      <c r="U11" s="1012"/>
      <c r="V11" s="1028">
        <v>700</v>
      </c>
      <c r="W11" s="1029">
        <f t="shared" si="0"/>
        <v>3036</v>
      </c>
      <c r="X11" s="1779">
        <f t="shared" si="11"/>
        <v>3036</v>
      </c>
      <c r="Y11" s="2049" t="s">
        <v>1356</v>
      </c>
      <c r="Z11" s="2151">
        <v>1000</v>
      </c>
      <c r="AA11" s="2152">
        <f t="shared" si="1"/>
        <v>-52858</v>
      </c>
      <c r="AB11" s="2156">
        <f t="shared" si="21"/>
        <v>0</v>
      </c>
      <c r="AC11" s="2153" t="s">
        <v>1356</v>
      </c>
      <c r="AD11" s="2353">
        <v>7000</v>
      </c>
      <c r="AE11" s="2865">
        <f t="shared" si="12"/>
        <v>22927</v>
      </c>
      <c r="AF11" s="2354">
        <f t="shared" si="22"/>
        <v>22927</v>
      </c>
      <c r="AG11" s="3635" t="s">
        <v>1581</v>
      </c>
      <c r="AH11" s="3751">
        <f t="shared" si="20"/>
        <v>10992</v>
      </c>
      <c r="AI11" s="4738"/>
      <c r="AJ11" s="3754">
        <f t="shared" si="13"/>
        <v>10992</v>
      </c>
      <c r="AK11" s="3752">
        <f t="shared" si="14"/>
        <v>10992</v>
      </c>
      <c r="AL11" s="3753"/>
      <c r="AM11" s="5103">
        <f t="shared" si="23"/>
        <v>38472</v>
      </c>
      <c r="AN11" s="5094">
        <f t="shared" si="24"/>
        <v>0</v>
      </c>
      <c r="AO11" s="1023">
        <f t="shared" si="2"/>
        <v>7.8412573457225951E-2</v>
      </c>
      <c r="AP11" s="1023">
        <f t="shared" si="3"/>
        <v>7.8520762694731489E-2</v>
      </c>
      <c r="AQ11" s="1023">
        <f t="shared" si="4"/>
        <v>8.3886380572480601E-2</v>
      </c>
      <c r="AR11" s="1023">
        <f t="shared" si="5"/>
        <v>2.3910680243885787E-2</v>
      </c>
      <c r="AS11" s="1023">
        <f t="shared" si="15"/>
        <v>9.7794986405500439E-2</v>
      </c>
      <c r="AT11" s="2154">
        <f t="shared" si="6"/>
        <v>-52858</v>
      </c>
      <c r="AU11" s="2157">
        <f t="shared" si="7"/>
        <v>-0.92069464039992333</v>
      </c>
      <c r="AV11" s="2155">
        <f>(SUM(O4:O11)/(SUM(N4:N11)))-1</f>
        <v>-0.69155452721328425</v>
      </c>
      <c r="AW11" s="2360">
        <f t="shared" si="16"/>
        <v>22927</v>
      </c>
      <c r="AX11" s="2878">
        <f t="shared" si="17"/>
        <v>5.0355809356468262</v>
      </c>
      <c r="AY11" s="2362">
        <f>(SUM(P4:P11)/(SUM(O4:O11)))-1</f>
        <v>1.4927218646314966E-2</v>
      </c>
      <c r="AZ11" s="3759">
        <f t="shared" si="18"/>
        <v>10992</v>
      </c>
      <c r="BA11" s="4729">
        <f t="shared" si="19"/>
        <v>0.39999999999999991</v>
      </c>
      <c r="BB11" s="3755">
        <f>(SUM(Q4:Q11)/(SUM(P4:P11)))-1</f>
        <v>1.0355136518078325</v>
      </c>
      <c r="BC11" s="472"/>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72"/>
      <c r="BZ11" s="472"/>
      <c r="CA11" s="472"/>
      <c r="CB11" s="472"/>
    </row>
    <row r="12" spans="1:100" ht="15" customHeight="1" thickBot="1">
      <c r="A12" s="478" t="s">
        <v>44</v>
      </c>
      <c r="B12" s="479">
        <v>31407</v>
      </c>
      <c r="C12" s="479">
        <v>34318</v>
      </c>
      <c r="D12" s="479">
        <v>33494</v>
      </c>
      <c r="E12" s="479">
        <v>33003</v>
      </c>
      <c r="F12" s="479">
        <v>34628</v>
      </c>
      <c r="G12" s="479">
        <v>39747</v>
      </c>
      <c r="H12" s="479">
        <v>49386</v>
      </c>
      <c r="I12" s="479">
        <v>55854</v>
      </c>
      <c r="J12" s="479">
        <v>51643</v>
      </c>
      <c r="K12" s="479">
        <v>40169</v>
      </c>
      <c r="L12" s="479">
        <f>45351+6</f>
        <v>45357</v>
      </c>
      <c r="M12" s="479">
        <v>50018</v>
      </c>
      <c r="N12" s="1317">
        <v>52806</v>
      </c>
      <c r="O12" s="2374">
        <v>5708</v>
      </c>
      <c r="P12" s="1012">
        <v>25275</v>
      </c>
      <c r="Q12" s="3741">
        <f>P12+10110</f>
        <v>35385</v>
      </c>
      <c r="R12" s="676">
        <f t="shared" si="8"/>
        <v>49539</v>
      </c>
      <c r="S12" s="676">
        <f t="shared" si="9"/>
        <v>69354.600000000006</v>
      </c>
      <c r="T12" s="676">
        <f t="shared" si="10"/>
        <v>97096.44</v>
      </c>
      <c r="U12" s="1012"/>
      <c r="V12" s="1028">
        <v>500</v>
      </c>
      <c r="W12" s="1029">
        <f t="shared" si="0"/>
        <v>2788</v>
      </c>
      <c r="X12" s="1779">
        <f t="shared" si="11"/>
        <v>2788</v>
      </c>
      <c r="Y12" s="2049" t="s">
        <v>1356</v>
      </c>
      <c r="Z12" s="2151">
        <v>500</v>
      </c>
      <c r="AA12" s="2152">
        <f t="shared" si="1"/>
        <v>-47098</v>
      </c>
      <c r="AB12" s="2156">
        <f t="shared" si="21"/>
        <v>0</v>
      </c>
      <c r="AC12" s="2153" t="s">
        <v>1356</v>
      </c>
      <c r="AD12" s="2353">
        <v>7000</v>
      </c>
      <c r="AE12" s="2865">
        <f t="shared" si="12"/>
        <v>19567</v>
      </c>
      <c r="AF12" s="2354">
        <f t="shared" si="22"/>
        <v>19567</v>
      </c>
      <c r="AG12" s="3635" t="s">
        <v>1581</v>
      </c>
      <c r="AH12" s="3751">
        <f t="shared" si="20"/>
        <v>10110</v>
      </c>
      <c r="AI12" s="4738"/>
      <c r="AJ12" s="3754">
        <f t="shared" si="13"/>
        <v>10110</v>
      </c>
      <c r="AK12" s="3752">
        <f t="shared" si="14"/>
        <v>10110</v>
      </c>
      <c r="AL12" s="3753"/>
      <c r="AM12" s="5103">
        <f t="shared" si="23"/>
        <v>35385</v>
      </c>
      <c r="AN12" s="5094">
        <f t="shared" si="24"/>
        <v>0</v>
      </c>
      <c r="AO12" s="1023">
        <f t="shared" si="2"/>
        <v>6.9466758355783378E-2</v>
      </c>
      <c r="AP12" s="1023">
        <f t="shared" si="3"/>
        <v>7.2228993259127905E-2</v>
      </c>
      <c r="AQ12" s="1023">
        <f t="shared" si="4"/>
        <v>7.7157760925787924E-2</v>
      </c>
      <c r="AR12" s="1023">
        <f t="shared" si="5"/>
        <v>2.9976315139929734E-2</v>
      </c>
      <c r="AS12" s="1023">
        <f t="shared" si="15"/>
        <v>8.9947899614229387E-2</v>
      </c>
      <c r="AT12" s="2154">
        <f t="shared" si="6"/>
        <v>-47098</v>
      </c>
      <c r="AU12" s="2157">
        <f t="shared" si="7"/>
        <v>-0.8919062227777147</v>
      </c>
      <c r="AV12" s="2155">
        <f>(SUM(O4:O12)/(SUM(N4:N12)))-1</f>
        <v>-0.71171557445932732</v>
      </c>
      <c r="AW12" s="2360">
        <f t="shared" si="16"/>
        <v>19567</v>
      </c>
      <c r="AX12" s="2878">
        <f t="shared" si="17"/>
        <v>3.4279957953749127</v>
      </c>
      <c r="AY12" s="2362">
        <f>(SUM(P4:P12)/(SUM(O4:O12)))-1</f>
        <v>0.14370608338125734</v>
      </c>
      <c r="AZ12" s="3759">
        <f t="shared" si="18"/>
        <v>10110</v>
      </c>
      <c r="BA12" s="4729">
        <f t="shared" si="19"/>
        <v>0.39999999999999991</v>
      </c>
      <c r="BB12" s="3755">
        <f>(SUM(Q4:Q12)/(SUM(P4:P12)))-1</f>
        <v>0.94267747845637229</v>
      </c>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72"/>
      <c r="BZ12" s="472"/>
      <c r="CA12" s="472"/>
      <c r="CB12" s="472"/>
    </row>
    <row r="13" spans="1:100" ht="15" customHeight="1" thickBot="1">
      <c r="A13" s="478" t="s">
        <v>45</v>
      </c>
      <c r="B13" s="479">
        <v>33891</v>
      </c>
      <c r="C13" s="479">
        <v>36977</v>
      </c>
      <c r="D13" s="479">
        <v>35959</v>
      </c>
      <c r="E13" s="479">
        <v>38298</v>
      </c>
      <c r="F13" s="479">
        <v>38582</v>
      </c>
      <c r="G13" s="479">
        <v>44864</v>
      </c>
      <c r="H13" s="479">
        <v>52967</v>
      </c>
      <c r="I13" s="479">
        <v>59469</v>
      </c>
      <c r="J13" s="479">
        <v>56449</v>
      </c>
      <c r="K13" s="479">
        <v>53831</v>
      </c>
      <c r="L13" s="479">
        <f>49732+1</f>
        <v>49733</v>
      </c>
      <c r="M13" s="479">
        <v>53057</v>
      </c>
      <c r="N13" s="1317">
        <v>42426</v>
      </c>
      <c r="O13" s="2374">
        <v>9063</v>
      </c>
      <c r="P13" s="1012">
        <v>29775</v>
      </c>
      <c r="Q13" s="3741">
        <f>P13+11458</f>
        <v>41233</v>
      </c>
      <c r="R13" s="676">
        <f t="shared" si="8"/>
        <v>57726.2</v>
      </c>
      <c r="S13" s="676">
        <f t="shared" si="9"/>
        <v>80816.679999999993</v>
      </c>
      <c r="T13" s="676">
        <f t="shared" si="10"/>
        <v>113143.35199999998</v>
      </c>
      <c r="U13" s="1012"/>
      <c r="V13" s="1028">
        <v>400</v>
      </c>
      <c r="W13" s="1029">
        <f t="shared" si="0"/>
        <v>-10631</v>
      </c>
      <c r="X13" s="1779">
        <f t="shared" si="11"/>
        <v>0</v>
      </c>
      <c r="Y13" s="2049" t="s">
        <v>1356</v>
      </c>
      <c r="Z13" s="2151">
        <v>500</v>
      </c>
      <c r="AA13" s="2152">
        <f t="shared" si="1"/>
        <v>-33363</v>
      </c>
      <c r="AB13" s="2156">
        <f t="shared" si="21"/>
        <v>0</v>
      </c>
      <c r="AC13" s="2153" t="s">
        <v>1356</v>
      </c>
      <c r="AD13" s="2353">
        <v>7000</v>
      </c>
      <c r="AE13" s="2865">
        <f t="shared" si="12"/>
        <v>20712</v>
      </c>
      <c r="AF13" s="2354">
        <f t="shared" si="22"/>
        <v>20712</v>
      </c>
      <c r="AG13" s="3635" t="s">
        <v>1581</v>
      </c>
      <c r="AH13" s="3751">
        <v>11458</v>
      </c>
      <c r="AI13" s="4738"/>
      <c r="AJ13" s="3754">
        <f t="shared" si="13"/>
        <v>11458</v>
      </c>
      <c r="AK13" s="3752">
        <f t="shared" si="14"/>
        <v>11458</v>
      </c>
      <c r="AL13" s="3753"/>
      <c r="AM13" s="5103">
        <f t="shared" si="23"/>
        <v>41685</v>
      </c>
      <c r="AN13" s="5094">
        <f t="shared" si="24"/>
        <v>0</v>
      </c>
      <c r="AO13" s="1023">
        <f t="shared" si="2"/>
        <v>7.6168844793707141E-2</v>
      </c>
      <c r="AP13" s="1023">
        <f t="shared" si="3"/>
        <v>7.6617491610011385E-2</v>
      </c>
      <c r="AQ13" s="1023">
        <f t="shared" si="4"/>
        <v>6.199097006093017E-2</v>
      </c>
      <c r="AR13" s="1023">
        <f t="shared" si="5"/>
        <v>4.7595540314152626E-2</v>
      </c>
      <c r="AS13" s="1023">
        <f t="shared" si="15"/>
        <v>0.10596236245355806</v>
      </c>
      <c r="AT13" s="2154">
        <f t="shared" si="6"/>
        <v>-33363</v>
      </c>
      <c r="AU13" s="2157">
        <f t="shared" si="7"/>
        <v>-0.78638099278744167</v>
      </c>
      <c r="AV13" s="2155">
        <f>(SUM(O4:O13)/(SUM(N4:N13)))-1</f>
        <v>-0.71730058234556737</v>
      </c>
      <c r="AW13" s="2360">
        <f t="shared" si="16"/>
        <v>20712</v>
      </c>
      <c r="AX13" s="2878">
        <f t="shared" si="17"/>
        <v>2.2853359814630916</v>
      </c>
      <c r="AY13" s="2362">
        <f>(SUM(P4:P13)/(SUM(O4:O13)))-1</f>
        <v>0.26475577508357029</v>
      </c>
      <c r="AZ13" s="3759">
        <f t="shared" si="18"/>
        <v>11458</v>
      </c>
      <c r="BA13" s="4729">
        <f t="shared" si="19"/>
        <v>0.38481947942905115</v>
      </c>
      <c r="BB13" s="3755">
        <f>(SUM(Q4:Q13)/(SUM(P4:P13)))-1</f>
        <v>0.86077141560977544</v>
      </c>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row>
    <row r="14" spans="1:100" ht="15" customHeight="1" thickBot="1">
      <c r="A14" s="478" t="s">
        <v>46</v>
      </c>
      <c r="B14" s="479">
        <v>35806</v>
      </c>
      <c r="C14" s="479">
        <v>38290</v>
      </c>
      <c r="D14" s="479">
        <v>38401</v>
      </c>
      <c r="E14" s="479">
        <v>38171</v>
      </c>
      <c r="F14" s="479">
        <v>41073</v>
      </c>
      <c r="G14" s="479">
        <v>46422</v>
      </c>
      <c r="H14" s="479">
        <v>56278</v>
      </c>
      <c r="I14" s="479">
        <v>63281</v>
      </c>
      <c r="J14" s="479">
        <v>61342</v>
      </c>
      <c r="K14" s="479">
        <v>48311</v>
      </c>
      <c r="L14" s="479">
        <v>52215</v>
      </c>
      <c r="M14" s="479">
        <v>54720</v>
      </c>
      <c r="N14" s="1317">
        <v>52993</v>
      </c>
      <c r="O14" s="2374">
        <v>11553</v>
      </c>
      <c r="P14" s="1012">
        <v>35230</v>
      </c>
      <c r="Q14" s="3741">
        <f>P14+13092</f>
        <v>48322</v>
      </c>
      <c r="R14" s="676">
        <f t="shared" si="8"/>
        <v>67650.8</v>
      </c>
      <c r="S14" s="676">
        <f t="shared" si="9"/>
        <v>94711.12000000001</v>
      </c>
      <c r="T14" s="676">
        <f t="shared" si="10"/>
        <v>132595.56800000003</v>
      </c>
      <c r="U14" s="1012"/>
      <c r="V14" s="1028">
        <v>400</v>
      </c>
      <c r="W14" s="1029">
        <f t="shared" si="0"/>
        <v>-1727</v>
      </c>
      <c r="X14" s="1779">
        <f t="shared" si="11"/>
        <v>0</v>
      </c>
      <c r="Y14" s="2049" t="s">
        <v>1356</v>
      </c>
      <c r="Z14" s="2151">
        <v>1000</v>
      </c>
      <c r="AA14" s="2152">
        <f t="shared" si="1"/>
        <v>-41440</v>
      </c>
      <c r="AB14" s="2156">
        <f t="shared" si="21"/>
        <v>0</v>
      </c>
      <c r="AC14" s="2153" t="s">
        <v>1402</v>
      </c>
      <c r="AD14" s="2353">
        <v>7000</v>
      </c>
      <c r="AE14" s="2865">
        <f t="shared" si="12"/>
        <v>23677</v>
      </c>
      <c r="AF14" s="2354">
        <f t="shared" si="22"/>
        <v>23677</v>
      </c>
      <c r="AG14" s="3635" t="s">
        <v>1581</v>
      </c>
      <c r="AH14" s="3751">
        <v>13092</v>
      </c>
      <c r="AI14" s="4738"/>
      <c r="AJ14" s="3754">
        <f t="shared" si="13"/>
        <v>13092</v>
      </c>
      <c r="AK14" s="3752">
        <f t="shared" si="14"/>
        <v>13092</v>
      </c>
      <c r="AL14" s="3753"/>
      <c r="AM14" s="5103">
        <f t="shared" si="23"/>
        <v>49322</v>
      </c>
      <c r="AN14" s="5094">
        <f t="shared" si="24"/>
        <v>0</v>
      </c>
      <c r="AO14" s="1023">
        <f t="shared" si="2"/>
        <v>7.9970165300774512E-2</v>
      </c>
      <c r="AP14" s="1023">
        <f t="shared" si="3"/>
        <v>7.9018963395967035E-2</v>
      </c>
      <c r="AQ14" s="1023">
        <f t="shared" si="4"/>
        <v>7.743099694618566E-2</v>
      </c>
      <c r="AR14" s="1023">
        <f t="shared" si="5"/>
        <v>6.0672103856273335E-2</v>
      </c>
      <c r="AS14" s="1023">
        <f t="shared" si="15"/>
        <v>0.12537545018434426</v>
      </c>
      <c r="AT14" s="2154">
        <f t="shared" si="6"/>
        <v>-41440</v>
      </c>
      <c r="AU14" s="2157">
        <f t="shared" si="7"/>
        <v>-0.78199007416073818</v>
      </c>
      <c r="AV14" s="2155">
        <f>(SUM(O4:O14)/(SUM(N4:N14)))-1</f>
        <v>-0.72282813754672015</v>
      </c>
      <c r="AW14" s="2360">
        <f t="shared" si="16"/>
        <v>23677</v>
      </c>
      <c r="AX14" s="2878">
        <f t="shared" si="17"/>
        <v>2.0494243919328312</v>
      </c>
      <c r="AY14" s="2362">
        <f>(SUM(P4:P14)/(SUM(O4:O14)))-1</f>
        <v>0.38470130368767341</v>
      </c>
      <c r="AZ14" s="3759">
        <f t="shared" si="18"/>
        <v>13092</v>
      </c>
      <c r="BA14" s="4729">
        <f t="shared" si="19"/>
        <v>0.37161510076639237</v>
      </c>
      <c r="BB14" s="3755">
        <f>(SUM(Q4:Q14)/(SUM(P4:P14)))-1</f>
        <v>0.7883718585364623</v>
      </c>
      <c r="BC14" s="472"/>
      <c r="BD14" s="472"/>
      <c r="BE14" s="472"/>
      <c r="BF14" s="472"/>
      <c r="BG14" s="472"/>
      <c r="BH14" s="472"/>
      <c r="BI14" s="472"/>
      <c r="BJ14" s="472"/>
      <c r="BK14" s="472"/>
      <c r="BL14" s="472"/>
      <c r="BM14" s="472"/>
      <c r="BN14" s="472"/>
      <c r="BO14" s="472"/>
      <c r="BP14" s="472"/>
      <c r="BQ14" s="472"/>
      <c r="BR14" s="472"/>
      <c r="BS14" s="472"/>
      <c r="BT14" s="472"/>
      <c r="BU14" s="472"/>
      <c r="BV14" s="472"/>
      <c r="BW14" s="472"/>
      <c r="BX14" s="472"/>
      <c r="BY14" s="472"/>
      <c r="BZ14" s="472"/>
      <c r="CA14" s="472"/>
      <c r="CB14" s="472"/>
    </row>
    <row r="15" spans="1:100" ht="15" customHeight="1" thickBot="1">
      <c r="A15" s="478" t="s">
        <v>47</v>
      </c>
      <c r="B15" s="479">
        <v>36780</v>
      </c>
      <c r="C15" s="479">
        <v>37281</v>
      </c>
      <c r="D15" s="479">
        <v>43693</v>
      </c>
      <c r="E15" s="479">
        <v>41220</v>
      </c>
      <c r="F15" s="479">
        <v>44235</v>
      </c>
      <c r="G15" s="479">
        <v>54545</v>
      </c>
      <c r="H15" s="479">
        <v>64370</v>
      </c>
      <c r="I15" s="479">
        <v>77956</v>
      </c>
      <c r="J15" s="479">
        <v>68875</v>
      </c>
      <c r="K15" s="479">
        <v>64045</v>
      </c>
      <c r="L15" s="479">
        <v>70062</v>
      </c>
      <c r="M15" s="479">
        <v>71516</v>
      </c>
      <c r="N15" s="1317">
        <v>64208</v>
      </c>
      <c r="O15" s="2374">
        <v>18520</v>
      </c>
      <c r="P15" s="1012">
        <v>42970</v>
      </c>
      <c r="Q15" s="3741">
        <f>P15+9742</f>
        <v>52712</v>
      </c>
      <c r="R15" s="676">
        <f t="shared" si="8"/>
        <v>73796.800000000003</v>
      </c>
      <c r="S15" s="676">
        <f t="shared" si="9"/>
        <v>103315.52</v>
      </c>
      <c r="T15" s="676">
        <f t="shared" si="10"/>
        <v>144641.728</v>
      </c>
      <c r="U15" s="1012"/>
      <c r="V15" s="1028">
        <v>415</v>
      </c>
      <c r="W15" s="1029">
        <f t="shared" si="0"/>
        <v>-7308</v>
      </c>
      <c r="X15" s="1779">
        <f t="shared" si="11"/>
        <v>0</v>
      </c>
      <c r="Y15" s="2049" t="s">
        <v>1356</v>
      </c>
      <c r="Z15" s="2151">
        <v>1000</v>
      </c>
      <c r="AA15" s="2152">
        <f t="shared" si="1"/>
        <v>-45688</v>
      </c>
      <c r="AB15" s="2156">
        <f t="shared" si="21"/>
        <v>0</v>
      </c>
      <c r="AC15" s="2153" t="s">
        <v>1356</v>
      </c>
      <c r="AD15" s="2353">
        <v>7000</v>
      </c>
      <c r="AE15" s="2865">
        <f t="shared" si="12"/>
        <v>24450</v>
      </c>
      <c r="AF15" s="2354">
        <f t="shared" si="22"/>
        <v>24450</v>
      </c>
      <c r="AG15" s="3635" t="s">
        <v>1581</v>
      </c>
      <c r="AH15" s="4696">
        <v>9742</v>
      </c>
      <c r="AI15" s="4739"/>
      <c r="AJ15" s="4697">
        <f t="shared" si="13"/>
        <v>9742</v>
      </c>
      <c r="AK15" s="4698">
        <f t="shared" si="14"/>
        <v>9742</v>
      </c>
      <c r="AL15" s="4699"/>
      <c r="AM15" s="5103">
        <f t="shared" si="23"/>
        <v>60157.999999999993</v>
      </c>
      <c r="AN15" s="5095"/>
      <c r="AO15" s="1023">
        <f t="shared" si="2"/>
        <v>0.10730383455525928</v>
      </c>
      <c r="AP15" s="1023">
        <f t="shared" si="3"/>
        <v>0.10327339521611802</v>
      </c>
      <c r="AQ15" s="1023">
        <f t="shared" si="4"/>
        <v>9.3817852394102771E-2</v>
      </c>
      <c r="AR15" s="1023">
        <f t="shared" si="5"/>
        <v>9.7260223614488203E-2</v>
      </c>
      <c r="AS15" s="1023">
        <f t="shared" si="15"/>
        <v>0.15292032626798957</v>
      </c>
      <c r="AT15" s="2154">
        <f t="shared" si="6"/>
        <v>-45688</v>
      </c>
      <c r="AU15" s="2157">
        <f t="shared" si="7"/>
        <v>-0.71156242212808374</v>
      </c>
      <c r="AV15" s="2155">
        <f>(SUM(O4:O15)/(SUM(N4:N15)))-1</f>
        <v>-0.72177121232046049</v>
      </c>
      <c r="AW15" s="2360">
        <f t="shared" si="16"/>
        <v>24450</v>
      </c>
      <c r="AX15" s="2878">
        <f t="shared" si="17"/>
        <v>1.3201943844492439</v>
      </c>
      <c r="AY15" s="2362">
        <f>(SUM(P4:P15)/(SUM(O4:O15)))-1</f>
        <v>0.47568756991235017</v>
      </c>
      <c r="AZ15" s="3759">
        <f t="shared" si="18"/>
        <v>9742</v>
      </c>
      <c r="BA15" s="4729">
        <f t="shared" si="19"/>
        <v>0.22671631370723766</v>
      </c>
      <c r="BB15" s="3755">
        <f>(SUM(Q4:Q15)/(SUM(P4:P15)))-1</f>
        <v>0.70248330937095194</v>
      </c>
      <c r="BC15" s="472"/>
      <c r="BD15" s="472"/>
      <c r="BE15" s="472"/>
      <c r="BF15" s="472"/>
      <c r="BG15" s="472"/>
      <c r="BH15" s="472"/>
      <c r="BI15" s="472"/>
      <c r="BJ15" s="472"/>
      <c r="BK15" s="472"/>
      <c r="BL15" s="472"/>
      <c r="BM15" s="472"/>
      <c r="BN15" s="472"/>
      <c r="BO15" s="472"/>
      <c r="BP15" s="472"/>
      <c r="BQ15" s="472"/>
      <c r="BR15" s="472"/>
      <c r="BS15" s="472"/>
      <c r="BT15" s="472"/>
      <c r="BU15" s="472"/>
      <c r="BV15" s="472"/>
      <c r="BW15" s="472"/>
      <c r="BX15" s="472"/>
      <c r="BY15" s="472"/>
      <c r="BZ15" s="472"/>
      <c r="CA15" s="472"/>
      <c r="CB15" s="472"/>
    </row>
    <row r="16" spans="1:100" ht="21.6" thickBot="1">
      <c r="A16" s="470" t="s">
        <v>584</v>
      </c>
      <c r="B16" s="585">
        <v>417853</v>
      </c>
      <c r="C16" s="585">
        <v>471499</v>
      </c>
      <c r="D16" s="585">
        <v>461865</v>
      </c>
      <c r="E16" s="585">
        <v>474221</v>
      </c>
      <c r="F16" s="585">
        <v>487378</v>
      </c>
      <c r="G16" s="585">
        <v>533458</v>
      </c>
      <c r="H16" s="585">
        <f>SUM(H4:H15)</f>
        <v>628958</v>
      </c>
      <c r="I16" s="585">
        <v>703015</v>
      </c>
      <c r="J16" s="585">
        <f t="shared" ref="J16:O16" si="25">SUM(J4:J15)</f>
        <v>712877</v>
      </c>
      <c r="K16" s="585">
        <f t="shared" si="25"/>
        <v>627626</v>
      </c>
      <c r="L16" s="585">
        <f t="shared" si="25"/>
        <v>652931</v>
      </c>
      <c r="M16" s="585">
        <f t="shared" si="25"/>
        <v>692492</v>
      </c>
      <c r="N16" s="2375">
        <f t="shared" si="25"/>
        <v>684390</v>
      </c>
      <c r="O16" s="585">
        <f t="shared" si="25"/>
        <v>190417</v>
      </c>
      <c r="P16" s="2375">
        <f>SUM(P4:P15)</f>
        <v>280996</v>
      </c>
      <c r="Q16" s="3742">
        <f>SUM(Q4:Q15)</f>
        <v>478391</v>
      </c>
      <c r="R16" s="587">
        <f>(Q16*R2)+Q16</f>
        <v>669747.4</v>
      </c>
      <c r="S16" s="587">
        <f>(R16*S2)+R16</f>
        <v>937646.3600000001</v>
      </c>
      <c r="T16" s="587">
        <f>(S16*T2)+S16</f>
        <v>1312704.9040000001</v>
      </c>
      <c r="U16" s="1013"/>
      <c r="V16" s="1030">
        <f>SUM(V4:V15)</f>
        <v>12507.96</v>
      </c>
      <c r="W16" s="1031">
        <f>SUM(W4:W15)</f>
        <v>-8102</v>
      </c>
      <c r="X16" s="1035">
        <f>SUM(X4:X15)</f>
        <v>15700</v>
      </c>
      <c r="Y16" s="1032"/>
      <c r="Z16" s="2134">
        <f>SUM(Z4:Z15)</f>
        <v>10000</v>
      </c>
      <c r="AA16" s="2135">
        <f>SUM(AA4:AA15)</f>
        <v>-493973</v>
      </c>
      <c r="AB16" s="2136">
        <f>SUM(AB4:AB15)</f>
        <v>7777</v>
      </c>
      <c r="AC16" s="2137"/>
      <c r="AD16" s="3745">
        <f>SUM(AD4:AD15)</f>
        <v>59583</v>
      </c>
      <c r="AE16" s="3746">
        <f>SUM(AE4:AE15)</f>
        <v>90579</v>
      </c>
      <c r="AF16" s="3636">
        <f>SUM(AF4:AF15)</f>
        <v>186417</v>
      </c>
      <c r="AG16" s="3747"/>
      <c r="AH16" s="4700">
        <f>SUM(AH4:AH15)</f>
        <v>99999.6</v>
      </c>
      <c r="AI16" s="4731"/>
      <c r="AJ16" s="4701">
        <f>SUM(AJ4:AJ15)</f>
        <v>197395</v>
      </c>
      <c r="AK16" s="4702">
        <f>SUM(AK4:AK15)</f>
        <v>197395</v>
      </c>
      <c r="AL16" s="4703"/>
      <c r="AM16" s="5104">
        <f>SUM(AM4:AM15)</f>
        <v>464944.8</v>
      </c>
      <c r="AN16" s="5093"/>
      <c r="AO16" s="2138"/>
      <c r="AP16" s="2139"/>
      <c r="AQ16" s="2139"/>
      <c r="AR16" s="2139"/>
      <c r="AS16" s="2139"/>
      <c r="AT16" s="2140">
        <f t="shared" si="6"/>
        <v>-493973</v>
      </c>
      <c r="AU16" s="2141">
        <f t="shared" si="7"/>
        <v>-0.72177121232046049</v>
      </c>
      <c r="AV16" s="2142">
        <f>(SUM(O4:O15)/(SUM(N4:N15)))-1</f>
        <v>-0.72177121232046049</v>
      </c>
      <c r="AW16" s="2363">
        <f t="shared" si="16"/>
        <v>90579</v>
      </c>
      <c r="AX16" s="2364">
        <f t="shared" si="17"/>
        <v>0.47568756991235017</v>
      </c>
      <c r="AY16" s="2365">
        <f>(SUM(P4:P15)/(SUM(O4:O15)))-1</f>
        <v>0.47568756991235017</v>
      </c>
      <c r="AZ16" s="3756">
        <f>Q16-P16</f>
        <v>197395</v>
      </c>
      <c r="BA16" s="3757">
        <f>Q16/P16-1</f>
        <v>0.70248330937095194</v>
      </c>
      <c r="BB16" s="3758">
        <f>(SUM(Q4:Q15)/(SUM(P4:P15)))-1</f>
        <v>0.70248330937095194</v>
      </c>
      <c r="BC16" s="586"/>
      <c r="BD16" s="586"/>
      <c r="BE16" s="586"/>
      <c r="BF16" s="586"/>
      <c r="BG16" s="586"/>
      <c r="BH16" s="586"/>
      <c r="BI16" s="586"/>
      <c r="BJ16" s="586"/>
      <c r="BK16" s="586"/>
      <c r="BL16" s="586"/>
      <c r="BM16" s="586"/>
      <c r="BN16" s="586"/>
      <c r="BO16" s="586"/>
      <c r="BP16" s="586"/>
      <c r="BQ16" s="586"/>
      <c r="BR16" s="586"/>
      <c r="BS16" s="586"/>
      <c r="BT16" s="586"/>
      <c r="BU16" s="586"/>
      <c r="BV16" s="586"/>
      <c r="BW16" s="586"/>
      <c r="BX16" s="586"/>
      <c r="BY16" s="586"/>
      <c r="BZ16" s="586"/>
      <c r="CA16" s="586"/>
      <c r="CB16" s="586"/>
    </row>
    <row r="17" spans="1:83" ht="24" thickBot="1">
      <c r="A17" s="639" t="s">
        <v>1992</v>
      </c>
      <c r="B17" s="480">
        <f>SUM(B4:B8)</f>
        <v>146687</v>
      </c>
      <c r="C17" s="480">
        <f t="shared" ref="C17:Q17" si="26">SUM(C4:C8)</f>
        <v>184989</v>
      </c>
      <c r="D17" s="480">
        <f t="shared" si="26"/>
        <v>169075</v>
      </c>
      <c r="E17" s="480">
        <f t="shared" si="26"/>
        <v>185189</v>
      </c>
      <c r="F17" s="480">
        <f t="shared" si="26"/>
        <v>186828</v>
      </c>
      <c r="G17" s="480">
        <f t="shared" si="26"/>
        <v>191334</v>
      </c>
      <c r="H17" s="480">
        <f t="shared" si="26"/>
        <v>228075</v>
      </c>
      <c r="I17" s="480">
        <f t="shared" si="26"/>
        <v>258802</v>
      </c>
      <c r="J17" s="480">
        <f t="shared" si="26"/>
        <v>281430</v>
      </c>
      <c r="K17" s="480">
        <f t="shared" si="26"/>
        <v>245836</v>
      </c>
      <c r="L17" s="480">
        <f t="shared" si="26"/>
        <v>248338</v>
      </c>
      <c r="M17" s="480">
        <f t="shared" si="26"/>
        <v>265293</v>
      </c>
      <c r="N17" s="480">
        <f t="shared" si="26"/>
        <v>266895</v>
      </c>
      <c r="O17" s="480">
        <f t="shared" si="26"/>
        <v>135934</v>
      </c>
      <c r="P17" s="480">
        <f t="shared" si="26"/>
        <v>67594</v>
      </c>
      <c r="Q17" s="480">
        <f t="shared" si="26"/>
        <v>188526</v>
      </c>
      <c r="R17" s="480">
        <f>SUM(R4:R14)</f>
        <v>595950.60000000009</v>
      </c>
      <c r="S17" s="480">
        <f>SUM(S4:S14)</f>
        <v>834330.84</v>
      </c>
      <c r="T17" s="480">
        <f>SUM(T4:T14)</f>
        <v>1168063.176</v>
      </c>
      <c r="U17" s="1013"/>
      <c r="V17" s="2101">
        <v>705000</v>
      </c>
      <c r="W17" s="1033">
        <f>N16-V17</f>
        <v>-20610</v>
      </c>
      <c r="X17" s="1033">
        <f>X16-V16</f>
        <v>3192.0400000000009</v>
      </c>
      <c r="Y17" s="1034"/>
      <c r="Z17" s="2143"/>
      <c r="AA17" s="2144"/>
      <c r="AB17" s="2144"/>
      <c r="AC17" s="2145"/>
      <c r="AD17" s="2357">
        <f>O16+AD16</f>
        <v>250000</v>
      </c>
      <c r="AE17" s="2358">
        <f>AE16-AD16</f>
        <v>30996</v>
      </c>
      <c r="AF17" s="2358">
        <f>AF16-AD17</f>
        <v>-63583</v>
      </c>
      <c r="AG17" s="2886"/>
      <c r="AH17" s="3748">
        <f>P16+AH16</f>
        <v>380995.6</v>
      </c>
      <c r="AI17" s="4732"/>
      <c r="AJ17" s="3749">
        <f t="shared" si="13"/>
        <v>120932</v>
      </c>
      <c r="AK17" s="4704">
        <f>AK16-AH17</f>
        <v>-183600.59999999998</v>
      </c>
      <c r="AL17" s="3749"/>
      <c r="AM17" s="5104">
        <f>AM16-P16</f>
        <v>183948.79999999999</v>
      </c>
      <c r="AN17" s="5100">
        <f>AM16/P16-1</f>
        <v>0.65463138265313381</v>
      </c>
      <c r="AO17" s="2130"/>
      <c r="AP17" s="2130"/>
      <c r="AQ17" s="2130"/>
      <c r="AR17" s="2130"/>
      <c r="AS17" s="2130"/>
      <c r="AT17" s="2130"/>
      <c r="AU17" s="2130"/>
      <c r="AV17" s="2130"/>
      <c r="AW17" s="2130"/>
      <c r="AX17" s="2130"/>
      <c r="AY17" s="2130"/>
      <c r="AZ17" s="2130"/>
      <c r="BA17" s="2130"/>
      <c r="BB17" s="2130"/>
      <c r="BC17" s="472"/>
      <c r="BD17" s="472"/>
      <c r="BE17" s="472"/>
      <c r="BF17" s="472"/>
      <c r="BG17" s="472"/>
      <c r="BH17" s="472"/>
      <c r="BI17" s="472"/>
      <c r="BJ17" s="472"/>
      <c r="BK17" s="472"/>
      <c r="BL17" s="472"/>
      <c r="BM17" s="472"/>
      <c r="BN17" s="472"/>
      <c r="BO17" s="472"/>
      <c r="BP17" s="472"/>
      <c r="BQ17" s="472"/>
      <c r="BR17" s="472"/>
      <c r="BS17" s="472"/>
      <c r="BT17" s="472"/>
      <c r="BU17" s="472"/>
      <c r="BV17" s="472"/>
      <c r="BW17" s="472"/>
      <c r="BX17" s="472"/>
      <c r="BY17" s="472"/>
      <c r="BZ17" s="472"/>
      <c r="CA17" s="472"/>
      <c r="CB17" s="472"/>
    </row>
    <row r="18" spans="1:83" ht="39">
      <c r="A18" s="31"/>
      <c r="B18" s="30"/>
      <c r="C18" s="32"/>
      <c r="D18" s="32"/>
      <c r="E18" s="32"/>
      <c r="F18" s="32"/>
      <c r="G18" s="32"/>
      <c r="H18" s="54"/>
      <c r="I18" s="54"/>
      <c r="J18" s="462"/>
      <c r="K18" s="462"/>
      <c r="L18" s="462"/>
      <c r="M18" s="5370" t="s">
        <v>1388</v>
      </c>
      <c r="N18" s="5370"/>
      <c r="O18" s="5370"/>
      <c r="P18" s="3799" t="s">
        <v>1617</v>
      </c>
      <c r="Q18" s="3799" t="s">
        <v>1924</v>
      </c>
      <c r="R18" s="462"/>
      <c r="S18" s="462"/>
      <c r="T18" s="462"/>
      <c r="U18" s="1014"/>
      <c r="V18" s="2359" t="s">
        <v>1371</v>
      </c>
      <c r="W18" s="592"/>
      <c r="X18" s="592"/>
      <c r="Y18" s="592"/>
      <c r="Z18" s="2369"/>
      <c r="AA18" s="592"/>
      <c r="AB18" s="592"/>
      <c r="AC18" s="592"/>
      <c r="AD18" s="3808">
        <f>P16-AD17</f>
        <v>30996</v>
      </c>
      <c r="AE18" s="3809"/>
      <c r="AG18" s="592"/>
      <c r="AI18" s="4500"/>
      <c r="AJ18" s="4471" t="s">
        <v>1579</v>
      </c>
      <c r="AK18" s="4733"/>
      <c r="AL18" s="4472">
        <f>Q16-350000</f>
        <v>128391</v>
      </c>
      <c r="AM18" s="652"/>
      <c r="AN18" s="592"/>
      <c r="AO18" s="594"/>
      <c r="AP18" s="594"/>
      <c r="AQ18" s="594"/>
      <c r="AR18" s="594"/>
      <c r="AS18" s="594"/>
      <c r="AT18" s="2130"/>
      <c r="AU18" s="2130"/>
      <c r="AV18" s="2130"/>
      <c r="AW18" s="2130"/>
      <c r="AX18" s="2130"/>
      <c r="AY18" s="2130"/>
      <c r="AZ18" s="2130"/>
      <c r="BA18" s="2130"/>
      <c r="BB18" s="2130"/>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row>
    <row r="19" spans="1:83" ht="15" thickBot="1">
      <c r="A19" s="380" t="s">
        <v>119</v>
      </c>
      <c r="B19" s="33"/>
      <c r="C19" s="34"/>
      <c r="D19" s="34"/>
      <c r="E19" s="34"/>
      <c r="F19" s="34"/>
      <c r="G19" s="34"/>
      <c r="H19" s="32"/>
      <c r="I19" s="32"/>
      <c r="J19" s="32"/>
      <c r="K19" s="577" t="s">
        <v>1382</v>
      </c>
      <c r="L19" s="1003"/>
      <c r="M19" s="22"/>
      <c r="N19" s="22"/>
      <c r="O19" s="22"/>
      <c r="Q19" s="1783" t="s">
        <v>866</v>
      </c>
      <c r="R19" s="588"/>
      <c r="S19" s="588"/>
      <c r="T19" s="588"/>
      <c r="U19" s="1014"/>
      <c r="V19" s="594"/>
      <c r="W19" s="592"/>
      <c r="X19" s="592"/>
      <c r="Y19" s="592"/>
      <c r="Z19" s="2146"/>
      <c r="AA19" s="592"/>
      <c r="AB19" s="592"/>
      <c r="AC19" s="592"/>
      <c r="AD19" s="3810" t="s">
        <v>1624</v>
      </c>
      <c r="AE19" s="3811" t="s">
        <v>1625</v>
      </c>
      <c r="AF19" s="592"/>
      <c r="AG19" s="3981"/>
      <c r="AH19" s="1"/>
      <c r="AI19" s="4500"/>
      <c r="AJ19" s="4473">
        <f>Q17</f>
        <v>188526</v>
      </c>
      <c r="AK19" s="4734"/>
      <c r="AL19" s="4389">
        <f>AJ19-380996</f>
        <v>-192470</v>
      </c>
      <c r="AM19" s="4586"/>
      <c r="AN19" s="592"/>
      <c r="AO19" s="594"/>
      <c r="AP19" s="594"/>
      <c r="AQ19" s="594"/>
      <c r="AR19" s="594"/>
      <c r="AS19" s="594"/>
      <c r="AT19" s="2130"/>
      <c r="AU19" s="2130"/>
      <c r="AV19" s="2130"/>
      <c r="AW19" s="2130"/>
      <c r="AX19" s="2130"/>
      <c r="AY19" s="2130"/>
      <c r="AZ19" s="2130"/>
      <c r="BA19" s="2130"/>
      <c r="BB19" s="2130"/>
      <c r="BC19" s="421"/>
      <c r="BD19" s="421"/>
      <c r="BE19" s="421"/>
      <c r="BF19" s="421"/>
      <c r="BG19" s="421"/>
      <c r="BH19" s="421"/>
      <c r="BI19" s="421"/>
      <c r="BJ19" s="421"/>
      <c r="BK19" s="421"/>
      <c r="BL19" s="421"/>
      <c r="BM19" s="421"/>
      <c r="BN19" s="421"/>
      <c r="BO19" s="421"/>
      <c r="BP19" s="421"/>
      <c r="BQ19" s="421"/>
      <c r="BR19" s="421"/>
      <c r="BS19" s="421"/>
      <c r="BT19" s="421"/>
      <c r="BU19" s="421"/>
      <c r="BV19" s="421"/>
      <c r="BW19" s="421"/>
      <c r="BX19" s="421"/>
      <c r="BY19" s="421"/>
      <c r="BZ19" s="421"/>
      <c r="CA19" s="421"/>
      <c r="CB19" s="421"/>
    </row>
    <row r="20" spans="1:83" ht="15" thickBot="1">
      <c r="A20" s="163" t="str">
        <f>A16</f>
        <v>Total anual</v>
      </c>
      <c r="B20" s="241"/>
      <c r="C20" s="242">
        <f t="shared" ref="C20:G21" si="27">C16/B16-1</f>
        <v>0.12838486261915083</v>
      </c>
      <c r="D20" s="242">
        <f t="shared" si="27"/>
        <v>-2.0432705053457179E-2</v>
      </c>
      <c r="E20" s="242">
        <f t="shared" si="27"/>
        <v>2.6752406006083973E-2</v>
      </c>
      <c r="F20" s="242">
        <f t="shared" si="27"/>
        <v>2.7744448263573362E-2</v>
      </c>
      <c r="G20" s="242">
        <f t="shared" si="27"/>
        <v>9.4546737850292883E-2</v>
      </c>
      <c r="H20" s="242">
        <f t="shared" ref="H20:O21" si="28">H16/G16-1</f>
        <v>0.17902065392214572</v>
      </c>
      <c r="I20" s="242">
        <f t="shared" si="28"/>
        <v>0.11774554103771639</v>
      </c>
      <c r="J20" s="242">
        <f t="shared" si="28"/>
        <v>1.4028150181717214E-2</v>
      </c>
      <c r="K20" s="242">
        <f t="shared" si="28"/>
        <v>-0.11958724997439951</v>
      </c>
      <c r="L20" s="242">
        <f t="shared" si="28"/>
        <v>4.0318597381242993E-2</v>
      </c>
      <c r="M20" s="242">
        <f t="shared" si="28"/>
        <v>6.0589863247418219E-2</v>
      </c>
      <c r="N20" s="242">
        <f t="shared" si="28"/>
        <v>-1.1699774149015463E-2</v>
      </c>
      <c r="O20" s="242">
        <f t="shared" si="28"/>
        <v>-0.72177121232046049</v>
      </c>
      <c r="P20" s="242">
        <f>P16/O16-1</f>
        <v>0.47568756991235017</v>
      </c>
      <c r="Q20" s="242">
        <f>Q16/P16-1</f>
        <v>0.70248330937095194</v>
      </c>
      <c r="R20" s="721"/>
      <c r="S20" s="721"/>
      <c r="T20" s="721"/>
      <c r="U20" s="1015"/>
      <c r="V20" s="424"/>
      <c r="W20" s="1852"/>
      <c r="X20" s="605"/>
      <c r="Y20" s="605"/>
      <c r="Z20" s="605"/>
      <c r="AA20" s="605"/>
      <c r="AB20" s="605"/>
      <c r="AC20" s="605"/>
      <c r="AD20" s="605"/>
      <c r="AE20" s="605"/>
      <c r="AF20" s="605"/>
      <c r="AG20" s="2147"/>
      <c r="AI20" s="4500"/>
      <c r="AJ20" s="4476">
        <f>AJ16</f>
        <v>197395</v>
      </c>
      <c r="AK20" s="4735"/>
      <c r="AL20" s="4389">
        <f>100000-AJ20</f>
        <v>-97395</v>
      </c>
      <c r="AM20" s="4586"/>
      <c r="AN20" s="2147"/>
      <c r="AO20" s="2148"/>
      <c r="AP20" s="2148"/>
      <c r="AQ20" s="2148"/>
      <c r="AR20" s="2148"/>
      <c r="AS20" s="2148"/>
      <c r="AT20" s="2149"/>
      <c r="AU20" s="2149"/>
      <c r="AV20" s="2130"/>
      <c r="AW20" s="2130"/>
      <c r="AX20" s="2130"/>
      <c r="AY20" s="2130"/>
      <c r="AZ20" s="2130"/>
      <c r="BA20" s="2130"/>
      <c r="BB20" s="2130"/>
      <c r="BC20" s="424"/>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c r="CB20" s="424"/>
    </row>
    <row r="21" spans="1:83" ht="16.8" thickTop="1" thickBot="1">
      <c r="A21" s="328" t="str">
        <f>A17</f>
        <v>ene-may</v>
      </c>
      <c r="B21" s="243"/>
      <c r="C21" s="329">
        <f t="shared" si="27"/>
        <v>0.26111380013225438</v>
      </c>
      <c r="D21" s="329">
        <f t="shared" si="27"/>
        <v>-8.6026736724886366E-2</v>
      </c>
      <c r="E21" s="329">
        <f t="shared" si="27"/>
        <v>9.5306816501552483E-2</v>
      </c>
      <c r="F21" s="329">
        <f t="shared" si="27"/>
        <v>8.8504176813957169E-3</v>
      </c>
      <c r="G21" s="329">
        <f t="shared" si="27"/>
        <v>2.4118440490718651E-2</v>
      </c>
      <c r="H21" s="329">
        <f t="shared" si="28"/>
        <v>0.19202546332591175</v>
      </c>
      <c r="I21" s="329">
        <f t="shared" si="28"/>
        <v>0.13472322700865935</v>
      </c>
      <c r="J21" s="329">
        <f t="shared" si="28"/>
        <v>8.743363652521996E-2</v>
      </c>
      <c r="K21" s="329">
        <f t="shared" si="28"/>
        <v>-0.12647550012436481</v>
      </c>
      <c r="L21" s="329">
        <f t="shared" si="28"/>
        <v>1.0177516718462787E-2</v>
      </c>
      <c r="M21" s="329">
        <f t="shared" si="28"/>
        <v>6.8273884786057781E-2</v>
      </c>
      <c r="N21" s="2110">
        <f t="shared" si="28"/>
        <v>6.0386063710688997E-3</v>
      </c>
      <c r="O21" s="2110">
        <f t="shared" si="28"/>
        <v>-0.49068360216564566</v>
      </c>
      <c r="P21" s="2110">
        <f>P17/O17-1</f>
        <v>-0.50274397869554344</v>
      </c>
      <c r="Q21" s="2110">
        <f>Q17/P17-1</f>
        <v>1.7890937065420007</v>
      </c>
      <c r="R21" s="347"/>
      <c r="S21" s="347"/>
      <c r="T21" s="347"/>
      <c r="U21" s="1016"/>
      <c r="V21" s="592"/>
      <c r="W21" s="592"/>
      <c r="X21" s="592"/>
      <c r="Y21" s="592"/>
      <c r="Z21" s="592"/>
      <c r="AA21" s="2209"/>
      <c r="AB21" s="2209"/>
      <c r="AC21" s="2209"/>
      <c r="AD21" s="2209"/>
      <c r="AE21" s="2209"/>
      <c r="AF21" s="2209"/>
      <c r="AG21" s="2210"/>
      <c r="AI21" s="4500"/>
      <c r="AJ21" s="4474" t="s">
        <v>1916</v>
      </c>
      <c r="AK21" s="4736"/>
      <c r="AL21" s="4475" t="s">
        <v>1917</v>
      </c>
      <c r="AM21" s="5096"/>
      <c r="AN21" s="2210"/>
      <c r="AO21" s="2211"/>
      <c r="AP21" s="2212"/>
      <c r="AQ21" s="2212"/>
      <c r="AR21" s="2212"/>
      <c r="AS21" s="2212"/>
      <c r="AT21" s="472"/>
      <c r="AU21" s="472"/>
      <c r="AV21" s="2130"/>
      <c r="AW21" s="2130"/>
      <c r="AX21" s="2130"/>
      <c r="AY21" s="2130"/>
      <c r="AZ21" s="2130"/>
      <c r="BA21" s="2130"/>
      <c r="BB21" s="2130"/>
      <c r="BC21" s="423"/>
      <c r="BD21" s="423"/>
      <c r="BE21" s="423"/>
      <c r="BF21" s="423"/>
      <c r="BG21" s="423"/>
      <c r="BH21" s="423"/>
      <c r="BI21" s="423"/>
      <c r="BJ21" s="423"/>
      <c r="BK21" s="423"/>
      <c r="BL21" s="423"/>
      <c r="BM21" s="423"/>
      <c r="BN21" s="423"/>
      <c r="BO21" s="423"/>
      <c r="BP21" s="423"/>
      <c r="BQ21" s="423"/>
      <c r="BR21" s="423"/>
      <c r="BS21" s="423"/>
      <c r="BT21" s="423"/>
      <c r="BU21" s="423"/>
      <c r="BV21" s="423"/>
      <c r="BW21" s="423"/>
      <c r="BX21" s="423"/>
      <c r="BY21" s="423"/>
      <c r="BZ21" s="423"/>
      <c r="CA21" s="423"/>
      <c r="CB21" s="423"/>
    </row>
    <row r="22" spans="1:83" ht="15.6">
      <c r="A22" s="3677"/>
      <c r="B22" s="576"/>
      <c r="C22" s="577"/>
      <c r="D22" s="577"/>
      <c r="E22" s="577"/>
      <c r="F22" s="577"/>
      <c r="G22" s="577"/>
      <c r="H22" s="577"/>
      <c r="I22" s="577"/>
      <c r="J22" s="577"/>
      <c r="K22" s="577"/>
      <c r="L22" s="577"/>
      <c r="M22" s="5371" t="s">
        <v>1572</v>
      </c>
      <c r="N22" s="4707" t="s">
        <v>1146</v>
      </c>
      <c r="O22" s="4708">
        <f>O16/N16-1</f>
        <v>-0.72177121232046049</v>
      </c>
      <c r="P22" s="4708">
        <f>P16/N16-1</f>
        <v>-0.58942123642952116</v>
      </c>
      <c r="Q22" s="4708">
        <f>Q16/N16-1</f>
        <v>-0.30099650783909759</v>
      </c>
      <c r="R22" s="347"/>
      <c r="S22" s="347"/>
      <c r="T22" s="347"/>
      <c r="U22" s="1016"/>
      <c r="V22" s="592"/>
      <c r="W22" s="592"/>
      <c r="X22" s="592"/>
      <c r="Y22" s="592"/>
      <c r="Z22" s="592"/>
      <c r="AA22" s="2209"/>
      <c r="AB22" s="2209"/>
      <c r="AC22" s="2209"/>
      <c r="AD22" s="2209"/>
      <c r="AE22" s="2209"/>
      <c r="AF22" s="2209"/>
      <c r="AG22" s="2210"/>
      <c r="AH22" s="2210"/>
      <c r="AI22" s="2210"/>
      <c r="AJ22" s="2210"/>
      <c r="AK22" s="2210"/>
      <c r="AL22" s="2210"/>
      <c r="AM22" s="2210"/>
      <c r="AN22" s="2210"/>
      <c r="AO22" s="2211"/>
      <c r="AP22" s="2212"/>
      <c r="AQ22" s="2212"/>
      <c r="AR22" s="2212"/>
      <c r="AS22" s="2212"/>
      <c r="AT22" s="472"/>
      <c r="AU22" s="472"/>
      <c r="AV22" s="2130"/>
      <c r="AW22" s="2130"/>
      <c r="AX22" s="2130"/>
      <c r="AY22" s="2130"/>
      <c r="AZ22" s="2130"/>
      <c r="BA22" s="2130"/>
      <c r="BB22" s="2130"/>
      <c r="BC22" s="423"/>
      <c r="BD22" s="423"/>
      <c r="BE22" s="423"/>
      <c r="BF22" s="423"/>
      <c r="BG22" s="423"/>
      <c r="BH22" s="423"/>
      <c r="BI22" s="423"/>
      <c r="BJ22" s="423"/>
      <c r="BK22" s="423"/>
      <c r="BL22" s="423"/>
      <c r="BM22" s="423"/>
      <c r="BN22" s="423"/>
      <c r="BO22" s="423"/>
      <c r="BP22" s="423"/>
      <c r="BQ22" s="423"/>
      <c r="BR22" s="423"/>
      <c r="BS22" s="423"/>
      <c r="BT22" s="423"/>
      <c r="BU22" s="423"/>
      <c r="BV22" s="423"/>
      <c r="BW22" s="423"/>
      <c r="BX22" s="423"/>
      <c r="BY22" s="423"/>
      <c r="BZ22" s="423"/>
      <c r="CA22" s="423"/>
      <c r="CB22" s="423"/>
    </row>
    <row r="23" spans="1:83" ht="15.6">
      <c r="A23" s="3677"/>
      <c r="B23" s="576"/>
      <c r="C23" s="577"/>
      <c r="D23" s="577"/>
      <c r="E23" s="577"/>
      <c r="F23" s="577"/>
      <c r="G23" s="577"/>
      <c r="H23" s="577"/>
      <c r="I23" s="577"/>
      <c r="J23" s="577"/>
      <c r="K23" s="577"/>
      <c r="L23" s="577"/>
      <c r="M23" s="5371"/>
      <c r="N23" s="4707" t="str">
        <f>A17</f>
        <v>ene-may</v>
      </c>
      <c r="O23" s="4708">
        <f>O17/N17-1</f>
        <v>-0.49068360216564566</v>
      </c>
      <c r="P23" s="4708">
        <f>P17/N17-1</f>
        <v>-0.74673935442777117</v>
      </c>
      <c r="Q23" s="5121">
        <f>Q17/N17-1</f>
        <v>-0.29363232731973243</v>
      </c>
      <c r="R23" s="347"/>
      <c r="S23" s="347"/>
      <c r="T23" s="347"/>
      <c r="U23" s="1016"/>
      <c r="V23" s="592"/>
      <c r="W23" s="592"/>
      <c r="X23" s="592"/>
      <c r="Y23" s="592"/>
      <c r="Z23" s="592"/>
      <c r="AA23" s="2209"/>
      <c r="AB23" s="2209"/>
      <c r="AC23" s="2209"/>
      <c r="AD23" s="2209"/>
      <c r="AE23" s="2209"/>
      <c r="AF23" s="2209"/>
      <c r="AG23" s="2210"/>
      <c r="AH23" s="2210"/>
      <c r="AI23" s="2210"/>
      <c r="AJ23" s="2210"/>
      <c r="AK23" s="2210"/>
      <c r="AL23" s="2210"/>
      <c r="AM23" s="2210"/>
      <c r="AN23" s="2210"/>
      <c r="AO23" s="2211"/>
      <c r="AP23" s="2212"/>
      <c r="AQ23" s="2212"/>
      <c r="AR23" s="2212"/>
      <c r="AS23" s="2212"/>
      <c r="AT23" s="472"/>
      <c r="AU23" s="472"/>
      <c r="AV23" s="2130"/>
      <c r="AW23" s="2130"/>
      <c r="AX23" s="2130"/>
      <c r="AY23" s="2130"/>
      <c r="AZ23" s="2130"/>
      <c r="BA23" s="2130"/>
      <c r="BB23" s="2130"/>
      <c r="BC23" s="423"/>
      <c r="BD23" s="423"/>
      <c r="BE23" s="423"/>
      <c r="BF23" s="423"/>
      <c r="BG23" s="423"/>
      <c r="BH23" s="423"/>
      <c r="BI23" s="423"/>
      <c r="BJ23" s="423"/>
      <c r="BK23" s="423"/>
      <c r="BL23" s="423"/>
      <c r="BM23" s="423"/>
      <c r="BN23" s="423"/>
      <c r="BO23" s="423"/>
      <c r="BP23" s="423"/>
      <c r="BQ23" s="423"/>
      <c r="BR23" s="423"/>
      <c r="BS23" s="423"/>
      <c r="BT23" s="423"/>
      <c r="BU23" s="423"/>
      <c r="BV23" s="423"/>
      <c r="BW23" s="423"/>
      <c r="BX23" s="423"/>
      <c r="BY23" s="423"/>
      <c r="BZ23" s="423"/>
      <c r="CA23" s="423"/>
      <c r="CB23" s="423"/>
      <c r="CC23" s="4500"/>
      <c r="CD23" s="4500"/>
      <c r="CE23" s="4500"/>
    </row>
    <row r="24" spans="1:83" ht="44.4" customHeight="1">
      <c r="A24" s="3677"/>
      <c r="B24" s="576"/>
      <c r="C24" s="577"/>
      <c r="D24" s="577"/>
      <c r="E24" s="577"/>
      <c r="F24" s="577"/>
      <c r="G24" s="577"/>
      <c r="H24" s="577"/>
      <c r="I24" s="577"/>
      <c r="J24" s="577"/>
      <c r="K24" s="577"/>
      <c r="L24" s="577"/>
      <c r="M24" s="4500"/>
      <c r="N24" s="4500"/>
      <c r="O24" s="4500"/>
      <c r="P24" s="4500"/>
      <c r="Q24" s="4500"/>
      <c r="R24" s="347"/>
      <c r="S24" s="347"/>
      <c r="T24" s="347"/>
      <c r="U24" s="1016"/>
      <c r="V24" s="592"/>
      <c r="W24" s="592"/>
      <c r="X24" s="592"/>
      <c r="Y24" s="592"/>
      <c r="Z24" s="592"/>
      <c r="AA24" s="2209"/>
      <c r="AB24" s="2209"/>
      <c r="AC24" s="2209"/>
      <c r="AD24" s="2209"/>
      <c r="AE24" s="2209"/>
      <c r="AF24" s="2209"/>
      <c r="AG24" s="2210"/>
      <c r="AH24" s="2210"/>
      <c r="AI24" s="2210"/>
      <c r="AJ24" s="2210"/>
      <c r="AK24" s="2210"/>
      <c r="AL24" s="2210"/>
      <c r="AM24" s="2210"/>
      <c r="AN24" s="2210"/>
      <c r="AO24" s="2211"/>
      <c r="AP24" s="2212"/>
      <c r="AQ24" s="2212"/>
      <c r="AR24" s="2212"/>
      <c r="AS24" s="2212"/>
      <c r="AT24" s="472"/>
      <c r="AU24" s="472"/>
      <c r="AV24" s="2130"/>
      <c r="AW24" s="2130"/>
      <c r="AX24" s="2130"/>
      <c r="AY24" s="2130"/>
      <c r="AZ24" s="2130"/>
      <c r="BA24" s="2130"/>
      <c r="BB24" s="2130"/>
      <c r="BC24" s="423"/>
      <c r="BD24" s="423"/>
      <c r="BE24" s="423"/>
      <c r="BF24" s="423"/>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500"/>
      <c r="CD24" s="4500"/>
      <c r="CE24" s="4500"/>
    </row>
    <row r="25" spans="1:83" ht="13.5" customHeight="1">
      <c r="A25" s="843" t="s">
        <v>844</v>
      </c>
      <c r="B25" s="844" t="s">
        <v>840</v>
      </c>
      <c r="C25" s="845" t="s">
        <v>841</v>
      </c>
      <c r="D25" s="845"/>
      <c r="E25" s="846" t="s">
        <v>842</v>
      </c>
      <c r="F25" s="577"/>
      <c r="G25" s="577"/>
      <c r="H25" s="577"/>
      <c r="I25" s="423"/>
      <c r="J25" s="577"/>
      <c r="K25" s="578"/>
      <c r="L25" s="1024" t="s">
        <v>601</v>
      </c>
      <c r="M25" s="1024" t="s">
        <v>738</v>
      </c>
      <c r="N25" s="1024" t="s">
        <v>1372</v>
      </c>
      <c r="O25" s="1024" t="s">
        <v>1375</v>
      </c>
      <c r="P25" s="1024" t="s">
        <v>1573</v>
      </c>
      <c r="Q25" s="1024" t="s">
        <v>1582</v>
      </c>
      <c r="R25" s="637"/>
      <c r="S25" s="637"/>
      <c r="T25" s="637"/>
      <c r="U25" s="1017"/>
      <c r="V25" s="423"/>
      <c r="W25" s="423"/>
      <c r="X25" s="423"/>
      <c r="Y25" s="423"/>
      <c r="Z25" s="2130"/>
      <c r="AA25" s="472"/>
      <c r="AB25" s="472"/>
      <c r="AC25" s="2213"/>
      <c r="AD25" s="2213"/>
      <c r="AE25" s="2213"/>
      <c r="AF25" s="472"/>
      <c r="AG25" s="472"/>
      <c r="AH25" s="472"/>
      <c r="AI25" s="472"/>
      <c r="AJ25" s="472"/>
      <c r="AK25" s="472"/>
      <c r="AL25" s="472"/>
      <c r="AM25" s="472"/>
      <c r="AN25" s="472"/>
      <c r="AO25" s="2214"/>
      <c r="AP25" s="2214"/>
      <c r="AQ25" s="2214"/>
      <c r="AR25" s="2214"/>
      <c r="AS25" s="2214"/>
      <c r="AT25" s="2215"/>
      <c r="AU25" s="472"/>
      <c r="AV25" s="2130"/>
      <c r="AW25" s="2130"/>
      <c r="AX25" s="2130"/>
      <c r="AY25" s="2130"/>
      <c r="AZ25" s="2130"/>
      <c r="BA25" s="2130"/>
      <c r="BB25" s="2130"/>
      <c r="BC25" s="423"/>
      <c r="BD25" s="423"/>
      <c r="BE25" s="423"/>
      <c r="BF25" s="423"/>
      <c r="BG25" s="423"/>
      <c r="BH25" s="423"/>
      <c r="BI25" s="423"/>
      <c r="BJ25" s="423"/>
      <c r="BK25" s="423"/>
      <c r="BL25" s="423"/>
      <c r="BM25" s="423"/>
      <c r="BN25" s="423"/>
      <c r="BO25" s="423"/>
      <c r="BP25" s="423"/>
      <c r="BQ25" s="423"/>
      <c r="BR25" s="423"/>
      <c r="BS25" s="423"/>
      <c r="BT25" s="423"/>
      <c r="BU25" s="423"/>
      <c r="BV25" s="423"/>
      <c r="BW25" s="423"/>
      <c r="BX25" s="423"/>
      <c r="BY25" s="423"/>
      <c r="BZ25" s="423"/>
      <c r="CA25" s="423"/>
      <c r="CB25" s="423"/>
    </row>
    <row r="26" spans="1:83" ht="13.5" customHeight="1" thickBot="1">
      <c r="A26" s="1006"/>
      <c r="B26" s="1007"/>
      <c r="C26" s="1008"/>
      <c r="D26" s="1008"/>
      <c r="E26" s="1009"/>
      <c r="F26" s="577"/>
      <c r="G26" s="577"/>
      <c r="H26" s="577"/>
      <c r="I26" s="423"/>
      <c r="J26" s="577"/>
      <c r="K26" s="578"/>
      <c r="L26" s="637"/>
      <c r="M26" s="637"/>
      <c r="N26" s="637"/>
      <c r="O26" s="637"/>
      <c r="P26" s="637"/>
      <c r="Q26" s="637"/>
      <c r="R26" s="637"/>
      <c r="S26" s="637"/>
      <c r="T26" s="637"/>
      <c r="U26" s="1017"/>
      <c r="V26" s="423"/>
      <c r="W26" s="423"/>
      <c r="X26" s="423"/>
      <c r="Y26" s="423"/>
      <c r="Z26" s="2130"/>
      <c r="AA26" s="472"/>
      <c r="AB26" s="2216"/>
      <c r="AC26" s="2213"/>
      <c r="AD26" s="2213"/>
      <c r="AE26" s="2213"/>
      <c r="AF26" s="472"/>
      <c r="AG26" s="472"/>
      <c r="AH26" s="472"/>
      <c r="AI26" s="472"/>
      <c r="AJ26" s="472"/>
      <c r="AK26" s="472"/>
      <c r="AL26" s="472"/>
      <c r="AM26" s="472"/>
      <c r="AN26" s="472"/>
      <c r="AO26" s="2214"/>
      <c r="AP26" s="2214"/>
      <c r="AQ26" s="2214"/>
      <c r="AR26" s="2214"/>
      <c r="AS26" s="2214"/>
      <c r="AT26" s="2215"/>
      <c r="AU26" s="472"/>
      <c r="AV26" s="2130"/>
      <c r="AW26" s="2130"/>
      <c r="AX26" s="2130"/>
      <c r="AY26" s="2130"/>
      <c r="AZ26" s="2130"/>
      <c r="BA26" s="2130"/>
      <c r="BB26" s="2130"/>
      <c r="BC26" s="423"/>
      <c r="BD26" s="423"/>
      <c r="BE26" s="423"/>
      <c r="BF26" s="423"/>
      <c r="BG26" s="423"/>
      <c r="BH26" s="423"/>
      <c r="BI26" s="423"/>
      <c r="BJ26" s="423"/>
      <c r="BK26" s="423"/>
      <c r="BL26" s="423"/>
      <c r="BM26" s="423"/>
      <c r="BN26" s="423"/>
      <c r="BO26" s="423"/>
      <c r="BP26" s="423"/>
      <c r="BQ26" s="423"/>
      <c r="BR26" s="423"/>
      <c r="BS26" s="423"/>
      <c r="BT26" s="423"/>
      <c r="BU26" s="423"/>
      <c r="BV26" s="423"/>
      <c r="BW26" s="423"/>
      <c r="BX26" s="423"/>
      <c r="BY26" s="423"/>
      <c r="BZ26" s="423"/>
      <c r="CA26" s="423"/>
      <c r="CB26" s="423"/>
    </row>
    <row r="27" spans="1:83" ht="16.2" thickBot="1">
      <c r="A27" s="579" t="s">
        <v>166</v>
      </c>
      <c r="B27" s="576"/>
      <c r="C27" s="423"/>
      <c r="D27" s="423"/>
      <c r="E27" s="423"/>
      <c r="F27" s="577"/>
      <c r="G27" s="423"/>
      <c r="H27" s="577"/>
      <c r="I27" s="580" t="s">
        <v>206</v>
      </c>
      <c r="J27" s="580" t="s">
        <v>393</v>
      </c>
      <c r="K27" s="580" t="s">
        <v>530</v>
      </c>
      <c r="L27" s="580" t="s">
        <v>575</v>
      </c>
      <c r="M27" s="580" t="s">
        <v>839</v>
      </c>
      <c r="N27" s="580" t="s">
        <v>874</v>
      </c>
      <c r="O27" s="580" t="s">
        <v>875</v>
      </c>
      <c r="P27" s="580" t="s">
        <v>876</v>
      </c>
      <c r="Q27" s="580" t="s">
        <v>877</v>
      </c>
      <c r="R27" s="580" t="s">
        <v>878</v>
      </c>
      <c r="S27" s="580" t="s">
        <v>879</v>
      </c>
      <c r="T27" s="580" t="s">
        <v>880</v>
      </c>
      <c r="U27" s="1018"/>
      <c r="V27" s="592"/>
      <c r="W27" s="592"/>
      <c r="X27" s="592"/>
      <c r="Y27" s="592"/>
      <c r="Z27" s="592"/>
      <c r="AA27" s="2209"/>
      <c r="AB27" s="2209"/>
      <c r="AC27" s="2210"/>
      <c r="AD27" s="2210"/>
      <c r="AE27" s="2210"/>
      <c r="AF27" s="2209"/>
      <c r="AG27" s="2209"/>
      <c r="AH27" s="2209"/>
      <c r="AI27" s="2209"/>
      <c r="AJ27" s="2209"/>
      <c r="AK27" s="2209"/>
      <c r="AL27" s="2209"/>
      <c r="AM27" s="2209"/>
      <c r="AN27" s="2209"/>
      <c r="AO27" s="2212"/>
      <c r="AP27" s="2212"/>
      <c r="AQ27" s="2212"/>
      <c r="AR27" s="2212"/>
      <c r="AS27" s="2212"/>
      <c r="AT27" s="472"/>
      <c r="AU27" s="472"/>
      <c r="AV27" s="2130"/>
      <c r="AW27" s="2130"/>
      <c r="AX27" s="2130"/>
      <c r="AY27" s="2130"/>
      <c r="AZ27" s="2130"/>
      <c r="BA27" s="2130"/>
      <c r="BB27" s="2130"/>
      <c r="BC27" s="423"/>
      <c r="BD27" s="423"/>
      <c r="BE27" s="423"/>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c r="CB27" s="423"/>
    </row>
    <row r="28" spans="1:83" ht="15" thickBot="1">
      <c r="A28" s="4596" t="str">
        <f>A21</f>
        <v>ene-may</v>
      </c>
      <c r="C28" s="35"/>
      <c r="D28" s="35"/>
      <c r="E28" s="35"/>
      <c r="F28" s="35"/>
      <c r="H28" s="244" t="s">
        <v>320</v>
      </c>
      <c r="I28" s="583">
        <f t="shared" ref="I28:P28" si="29">I17-H17</f>
        <v>30727</v>
      </c>
      <c r="J28" s="583">
        <f t="shared" si="29"/>
        <v>22628</v>
      </c>
      <c r="K28" s="583">
        <f t="shared" si="29"/>
        <v>-35594</v>
      </c>
      <c r="L28" s="583">
        <f t="shared" si="29"/>
        <v>2502</v>
      </c>
      <c r="M28" s="583">
        <f t="shared" si="29"/>
        <v>16955</v>
      </c>
      <c r="N28" s="584">
        <f t="shared" si="29"/>
        <v>1602</v>
      </c>
      <c r="O28" s="584">
        <f t="shared" si="29"/>
        <v>-130961</v>
      </c>
      <c r="P28" s="584">
        <f t="shared" si="29"/>
        <v>-68340</v>
      </c>
      <c r="Q28" s="584">
        <f>Q17-P17</f>
        <v>120932</v>
      </c>
      <c r="R28" s="584">
        <f>R17-Q17</f>
        <v>407424.60000000009</v>
      </c>
      <c r="S28" s="584">
        <f>S17-R17</f>
        <v>238380.23999999987</v>
      </c>
      <c r="T28" s="584">
        <f>T17-S17</f>
        <v>333732.33600000001</v>
      </c>
      <c r="U28" s="1019"/>
      <c r="V28" s="593"/>
      <c r="W28" s="593"/>
      <c r="X28" s="593"/>
      <c r="Y28" s="593"/>
      <c r="Z28" s="593"/>
      <c r="AA28" s="593"/>
      <c r="AB28" s="593"/>
      <c r="AC28" s="593"/>
      <c r="AD28" s="593"/>
      <c r="AE28" s="593"/>
      <c r="AF28" s="593"/>
      <c r="AG28" s="593"/>
      <c r="AH28" s="593"/>
      <c r="AI28" s="593"/>
      <c r="AJ28" s="593"/>
      <c r="AK28" s="593"/>
      <c r="AL28" s="593"/>
      <c r="AM28" s="593"/>
      <c r="AN28" s="593"/>
      <c r="AO28" s="594"/>
      <c r="AP28" s="594"/>
      <c r="AQ28" s="594"/>
      <c r="AR28" s="594"/>
      <c r="AS28" s="594"/>
      <c r="AT28" s="2130"/>
      <c r="AU28" s="2130"/>
      <c r="AV28" s="2130"/>
      <c r="AW28" s="2130"/>
      <c r="AX28" s="2130"/>
      <c r="AY28" s="2130"/>
      <c r="AZ28" s="2130"/>
      <c r="BA28" s="2130"/>
      <c r="BB28" s="2130"/>
      <c r="BC28" s="421"/>
      <c r="BD28" s="421"/>
      <c r="BE28" s="421"/>
      <c r="BF28" s="421"/>
      <c r="BG28" s="421"/>
      <c r="BH28" s="421"/>
      <c r="BI28" s="421"/>
      <c r="BJ28" s="421"/>
      <c r="BK28" s="421"/>
      <c r="BL28" s="421"/>
      <c r="BM28" s="421"/>
      <c r="BN28" s="421"/>
      <c r="BO28" s="421"/>
      <c r="BP28" s="421"/>
      <c r="BQ28" s="421"/>
      <c r="BR28" s="421"/>
      <c r="BS28" s="421"/>
      <c r="BT28" s="421"/>
      <c r="BU28" s="421"/>
      <c r="BV28" s="421"/>
      <c r="BW28" s="421"/>
      <c r="BX28" s="421"/>
      <c r="BY28" s="421"/>
      <c r="BZ28" s="421"/>
      <c r="CA28" s="421"/>
      <c r="CB28" s="421"/>
    </row>
    <row r="29" spans="1:83" ht="21" thickBot="1">
      <c r="A29" s="4597" t="s">
        <v>1146</v>
      </c>
      <c r="C29" s="35"/>
      <c r="D29" s="35"/>
      <c r="E29" s="35"/>
      <c r="F29" s="35"/>
      <c r="H29" s="358" t="s">
        <v>502</v>
      </c>
      <c r="I29" s="581">
        <f t="shared" ref="I29:P29" si="30">I16-H16</f>
        <v>74057</v>
      </c>
      <c r="J29" s="581">
        <f t="shared" si="30"/>
        <v>9862</v>
      </c>
      <c r="K29" s="581">
        <f t="shared" si="30"/>
        <v>-85251</v>
      </c>
      <c r="L29" s="581">
        <f t="shared" si="30"/>
        <v>25305</v>
      </c>
      <c r="M29" s="581">
        <f t="shared" si="30"/>
        <v>39561</v>
      </c>
      <c r="N29" s="582">
        <f t="shared" si="30"/>
        <v>-8102</v>
      </c>
      <c r="O29" s="582">
        <f t="shared" si="30"/>
        <v>-493973</v>
      </c>
      <c r="P29" s="582">
        <f t="shared" si="30"/>
        <v>90579</v>
      </c>
      <c r="Q29" s="582">
        <f>Q16-P16</f>
        <v>197395</v>
      </c>
      <c r="R29" s="582">
        <f>R16-Q16</f>
        <v>191356.40000000002</v>
      </c>
      <c r="S29" s="582">
        <f>S16-R16</f>
        <v>267898.96000000008</v>
      </c>
      <c r="T29" s="582">
        <f>T16-S16</f>
        <v>375058.54399999999</v>
      </c>
      <c r="U29" s="1019"/>
      <c r="V29" s="593"/>
      <c r="W29" s="593"/>
      <c r="X29" s="593"/>
      <c r="Y29" s="593"/>
      <c r="Z29" s="593"/>
      <c r="AA29" s="593"/>
      <c r="AB29" s="593"/>
      <c r="AC29" s="593"/>
      <c r="AD29" s="593"/>
      <c r="AE29" s="593"/>
      <c r="AF29" s="593"/>
      <c r="AG29" s="593"/>
      <c r="AH29" s="593"/>
      <c r="AI29" s="593"/>
      <c r="AJ29" s="593"/>
      <c r="AK29" s="593"/>
      <c r="AL29" s="593"/>
      <c r="AM29" s="593"/>
      <c r="AN29" s="593"/>
      <c r="AO29" s="594"/>
      <c r="AP29" s="594"/>
      <c r="AQ29" s="594"/>
      <c r="AR29" s="594"/>
      <c r="AS29" s="594"/>
      <c r="AT29" s="2130"/>
      <c r="AU29" s="2130"/>
      <c r="AV29" s="2130"/>
      <c r="AW29" s="2130"/>
      <c r="AX29" s="2130"/>
      <c r="AY29" s="2130"/>
      <c r="AZ29" s="2130"/>
      <c r="BA29" s="2130"/>
      <c r="BB29" s="2130"/>
      <c r="BC29" s="421"/>
      <c r="BD29" s="421"/>
      <c r="BE29" s="421"/>
      <c r="BF29" s="421"/>
      <c r="BG29" s="421"/>
      <c r="BH29" s="421"/>
      <c r="BI29" s="421"/>
      <c r="BJ29" s="421"/>
      <c r="BK29" s="421"/>
      <c r="BL29" s="421"/>
      <c r="BM29" s="421"/>
      <c r="BN29" s="421"/>
      <c r="BO29" s="421"/>
      <c r="BP29" s="421"/>
      <c r="BQ29" s="421"/>
      <c r="BR29" s="421"/>
      <c r="BS29" s="421"/>
      <c r="BT29" s="421"/>
      <c r="BU29" s="421"/>
      <c r="BV29" s="421"/>
      <c r="BW29" s="421"/>
      <c r="BX29" s="421"/>
      <c r="BY29" s="421"/>
      <c r="BZ29" s="421"/>
      <c r="CA29" s="421"/>
      <c r="CB29" s="421"/>
    </row>
    <row r="30" spans="1:83">
      <c r="A30" s="48"/>
      <c r="B30" s="48" t="s">
        <v>746</v>
      </c>
      <c r="C30" s="650"/>
      <c r="D30" s="423"/>
      <c r="E30" s="650"/>
      <c r="F30" s="650"/>
      <c r="G30" s="649"/>
      <c r="H30" s="649"/>
      <c r="I30" s="652"/>
      <c r="J30" s="652"/>
      <c r="K30" s="652"/>
      <c r="L30" s="653"/>
      <c r="M30" s="653"/>
      <c r="N30" s="653"/>
      <c r="O30" s="653"/>
      <c r="P30" s="4595">
        <f>P17/O17-1</f>
        <v>-0.50274397869554344</v>
      </c>
      <c r="Q30" s="4595">
        <f>Q17/P17-1</f>
        <v>1.7890937065420007</v>
      </c>
      <c r="R30" s="653">
        <f>R17/P17</f>
        <v>8.8166198183270712</v>
      </c>
      <c r="S30" s="653">
        <f>S17/Q17</f>
        <v>4.4255478819897522</v>
      </c>
      <c r="T30" s="653">
        <f>T17/R17</f>
        <v>1.9599999999999997</v>
      </c>
      <c r="U30" s="1019"/>
      <c r="V30" s="593"/>
      <c r="W30" s="593"/>
      <c r="X30" s="593"/>
      <c r="Y30" s="593"/>
      <c r="Z30" s="593"/>
      <c r="AA30" s="593"/>
      <c r="AB30" s="593"/>
      <c r="AC30" s="593"/>
      <c r="AD30" s="593"/>
      <c r="AE30" s="593"/>
      <c r="AF30" s="593"/>
      <c r="AG30" s="593"/>
      <c r="AH30" s="593"/>
      <c r="AI30" s="593"/>
      <c r="AJ30" s="593"/>
      <c r="AK30" s="593"/>
      <c r="AL30" s="593"/>
      <c r="AM30" s="593"/>
      <c r="AN30" s="593"/>
      <c r="AO30" s="593"/>
      <c r="AP30" s="593"/>
      <c r="AQ30" s="1025"/>
      <c r="AR30" s="1025"/>
      <c r="AS30" s="1025"/>
      <c r="AT30" s="1025"/>
      <c r="AU30" s="1025"/>
      <c r="AV30" s="2130"/>
      <c r="AW30" s="2130"/>
      <c r="AX30" s="2130"/>
      <c r="AY30" s="2130"/>
      <c r="AZ30" s="2130"/>
      <c r="BA30" s="2130"/>
      <c r="BB30" s="2130"/>
      <c r="BC30" s="2130"/>
      <c r="BD30" s="2130"/>
      <c r="BE30" s="421"/>
      <c r="BF30" s="421"/>
      <c r="BG30" s="421"/>
      <c r="BH30" s="421"/>
      <c r="BI30" s="421"/>
      <c r="BJ30" s="421"/>
      <c r="BK30" s="421"/>
      <c r="BL30" s="421"/>
      <c r="BM30" s="421"/>
      <c r="BN30" s="421"/>
      <c r="BO30" s="421"/>
      <c r="BP30" s="421"/>
      <c r="BQ30" s="421"/>
      <c r="BR30" s="421"/>
      <c r="BS30" s="421"/>
      <c r="BT30" s="421"/>
      <c r="BU30" s="421"/>
      <c r="BV30" s="421"/>
      <c r="BW30" s="421"/>
      <c r="BX30" s="421"/>
      <c r="BY30" s="421"/>
      <c r="BZ30" s="421"/>
      <c r="CA30" s="421"/>
      <c r="CB30" s="421"/>
      <c r="CC30" s="421"/>
      <c r="CD30" s="421"/>
    </row>
    <row r="31" spans="1:83" ht="15" thickBot="1">
      <c r="A31" s="48"/>
      <c r="B31" s="48"/>
      <c r="C31" s="650"/>
      <c r="D31" s="423"/>
      <c r="E31" s="650"/>
      <c r="F31" s="650"/>
      <c r="G31" s="649"/>
      <c r="H31" s="649"/>
      <c r="I31" s="652"/>
      <c r="J31" s="652"/>
      <c r="K31" s="652"/>
      <c r="L31" s="653"/>
      <c r="M31" s="653"/>
      <c r="N31" s="653"/>
      <c r="O31" s="653"/>
      <c r="P31" s="653"/>
      <c r="Q31" s="653"/>
      <c r="R31" s="653"/>
      <c r="S31" s="653"/>
      <c r="T31" s="653"/>
      <c r="U31" s="1019"/>
      <c r="V31" s="593"/>
      <c r="W31" s="593"/>
      <c r="X31" s="593"/>
      <c r="Y31" s="593"/>
      <c r="Z31" s="593"/>
      <c r="AA31" s="593"/>
      <c r="AB31" s="593"/>
      <c r="AC31" s="593"/>
      <c r="AD31" s="593"/>
      <c r="AE31" s="593"/>
      <c r="AF31" s="593"/>
      <c r="AG31" s="593"/>
      <c r="AH31" s="593"/>
      <c r="AI31" s="593"/>
      <c r="AJ31" s="593"/>
      <c r="AK31" s="593"/>
      <c r="AL31" s="593"/>
      <c r="AM31" s="593"/>
      <c r="AN31" s="593"/>
      <c r="AO31" s="593"/>
      <c r="AP31" s="593"/>
      <c r="AQ31" s="1025"/>
      <c r="AR31" s="1025"/>
      <c r="AS31" s="1025"/>
      <c r="AT31" s="1025"/>
      <c r="AU31" s="1025"/>
      <c r="AV31" s="2130"/>
      <c r="AW31" s="2130"/>
      <c r="AX31" s="2130"/>
      <c r="AY31" s="2130"/>
      <c r="AZ31" s="2130"/>
      <c r="BA31" s="2130"/>
      <c r="BB31" s="2130"/>
      <c r="BC31" s="2130"/>
      <c r="BD31" s="2130"/>
      <c r="BE31" s="421"/>
      <c r="BF31" s="421"/>
      <c r="BG31" s="421"/>
      <c r="BH31" s="421"/>
      <c r="BI31" s="421"/>
      <c r="BJ31" s="421"/>
      <c r="BK31" s="421"/>
      <c r="BL31" s="421"/>
      <c r="BM31" s="421"/>
      <c r="BN31" s="421"/>
      <c r="BO31" s="421"/>
      <c r="BP31" s="421"/>
      <c r="BQ31" s="421"/>
      <c r="BR31" s="421"/>
      <c r="BS31" s="421"/>
      <c r="BT31" s="421"/>
      <c r="BU31" s="421"/>
      <c r="BV31" s="421"/>
      <c r="BW31" s="421"/>
      <c r="BX31" s="421"/>
      <c r="BY31" s="421"/>
      <c r="BZ31" s="421"/>
      <c r="CA31" s="421"/>
      <c r="CB31" s="421"/>
      <c r="CC31" s="421"/>
      <c r="CD31" s="421"/>
    </row>
    <row r="32" spans="1:83" ht="31.2" thickBot="1">
      <c r="A32" s="2892"/>
      <c r="B32" s="2893"/>
      <c r="C32" s="2888"/>
      <c r="D32" s="2894"/>
      <c r="E32" s="2888"/>
      <c r="F32" s="2888"/>
      <c r="G32" s="2879"/>
      <c r="H32" s="2879"/>
      <c r="I32" s="2880"/>
      <c r="J32" s="2887">
        <f t="shared" ref="J32:Q32" si="31">J3</f>
        <v>2015</v>
      </c>
      <c r="K32" s="2887">
        <f t="shared" si="31"/>
        <v>2016</v>
      </c>
      <c r="L32" s="2887">
        <f t="shared" si="31"/>
        <v>2017</v>
      </c>
      <c r="M32" s="2887">
        <f t="shared" si="31"/>
        <v>2018</v>
      </c>
      <c r="N32" s="2887">
        <f t="shared" si="31"/>
        <v>2019</v>
      </c>
      <c r="O32" s="2887">
        <f t="shared" si="31"/>
        <v>2020</v>
      </c>
      <c r="P32" s="2887">
        <f t="shared" si="31"/>
        <v>2021</v>
      </c>
      <c r="Q32" s="3764" t="str">
        <f t="shared" si="31"/>
        <v>2022 (e)</v>
      </c>
      <c r="R32" s="2881"/>
      <c r="S32" s="2881"/>
      <c r="T32" s="2881"/>
      <c r="U32" s="4616"/>
      <c r="V32" s="2888"/>
      <c r="W32" s="2888"/>
      <c r="X32" s="2888"/>
      <c r="Y32" s="2888"/>
      <c r="Z32" s="2888"/>
      <c r="AA32" s="2888"/>
      <c r="AB32" s="2888"/>
      <c r="AC32" s="2888"/>
      <c r="AD32" s="2889" t="s">
        <v>868</v>
      </c>
      <c r="AE32" s="2889" t="s">
        <v>1395</v>
      </c>
      <c r="AF32" s="2889" t="s">
        <v>1419</v>
      </c>
      <c r="AG32" s="2889" t="s">
        <v>1505</v>
      </c>
      <c r="AH32" s="593"/>
      <c r="AI32" s="593"/>
      <c r="AJ32" s="593"/>
      <c r="AK32" s="593"/>
      <c r="AL32" s="2890" t="s">
        <v>1882</v>
      </c>
      <c r="AM32" s="5097"/>
      <c r="AN32" s="2891" t="s">
        <v>1504</v>
      </c>
      <c r="AO32" s="593"/>
      <c r="AP32" s="593"/>
      <c r="AQ32" s="593"/>
      <c r="AR32" s="1025"/>
      <c r="AS32" s="1025"/>
      <c r="AT32" s="1025"/>
      <c r="AU32" s="1025"/>
      <c r="AV32" s="1025"/>
      <c r="AW32" s="2130"/>
      <c r="AX32" s="2130"/>
      <c r="AY32" s="2130"/>
      <c r="AZ32" s="2130"/>
      <c r="BA32" s="2130"/>
      <c r="BB32" s="2130"/>
      <c r="BC32" s="2130"/>
      <c r="BD32" s="2130"/>
      <c r="BE32" s="2130"/>
      <c r="BF32" s="421"/>
      <c r="BG32" s="421"/>
      <c r="BH32" s="421"/>
      <c r="BI32" s="421"/>
      <c r="BJ32" s="421"/>
      <c r="BK32" s="421"/>
      <c r="BL32" s="421"/>
      <c r="BM32" s="421"/>
      <c r="BN32" s="421"/>
      <c r="BO32" s="421"/>
      <c r="BP32" s="421"/>
      <c r="BQ32" s="421"/>
      <c r="BR32" s="421"/>
      <c r="BS32" s="421"/>
      <c r="BT32" s="421"/>
      <c r="BU32" s="421"/>
      <c r="BV32" s="421"/>
      <c r="BW32" s="421"/>
      <c r="BX32" s="421"/>
      <c r="BY32" s="421"/>
      <c r="BZ32" s="421"/>
      <c r="CA32" s="421"/>
      <c r="CB32" s="421"/>
      <c r="CC32" s="421"/>
      <c r="CD32" s="421"/>
      <c r="CE32" s="421"/>
    </row>
    <row r="33" spans="1:81" ht="15" hidden="1" thickBot="1">
      <c r="A33" s="2895"/>
      <c r="B33" s="2896"/>
      <c r="C33" s="2887">
        <v>2008</v>
      </c>
      <c r="D33" s="2887">
        <v>2009</v>
      </c>
      <c r="E33" s="2887">
        <v>2010</v>
      </c>
      <c r="F33" s="2887">
        <v>2011</v>
      </c>
      <c r="G33" s="2887">
        <v>2012</v>
      </c>
      <c r="H33" s="2887">
        <v>2013</v>
      </c>
      <c r="I33" s="2887" t="s">
        <v>742</v>
      </c>
      <c r="J33" s="2887" t="s">
        <v>743</v>
      </c>
      <c r="K33" s="2887" t="s">
        <v>744</v>
      </c>
      <c r="L33" s="2887" t="s">
        <v>821</v>
      </c>
      <c r="N33" s="2896"/>
      <c r="O33" s="2896"/>
      <c r="P33" s="2896"/>
      <c r="Q33" s="2897"/>
      <c r="R33" s="2897"/>
      <c r="S33" s="2897"/>
      <c r="T33" s="2897"/>
      <c r="U33" s="4617"/>
      <c r="V33" s="2896"/>
      <c r="W33" s="2896"/>
      <c r="X33" s="2896"/>
      <c r="Y33" s="612"/>
      <c r="Z33" s="612"/>
      <c r="AA33" s="612"/>
      <c r="AB33" s="612"/>
      <c r="AC33" s="612"/>
      <c r="AD33" s="2898" t="str">
        <f>AE33</f>
        <v>ene-may</v>
      </c>
      <c r="AE33" s="2898" t="str">
        <f>AF33</f>
        <v>ene-may</v>
      </c>
      <c r="AF33" s="2898" t="str">
        <f>A17</f>
        <v>ene-may</v>
      </c>
      <c r="AG33" s="2899" t="str">
        <f>AF33</f>
        <v>ene-may</v>
      </c>
      <c r="AH33" s="593"/>
      <c r="AI33" s="593"/>
      <c r="AJ33" s="593"/>
      <c r="AK33" s="593"/>
      <c r="AL33" s="2884" t="s">
        <v>1461</v>
      </c>
      <c r="AM33" s="5098"/>
      <c r="AN33" s="2885"/>
      <c r="AO33" s="594"/>
      <c r="AP33" s="594"/>
      <c r="AQ33" s="594"/>
      <c r="AR33" s="594"/>
      <c r="AS33" s="594"/>
      <c r="AT33" s="594"/>
      <c r="AU33" s="2150"/>
      <c r="AV33" s="2150"/>
      <c r="AW33" s="2150"/>
      <c r="AX33" s="2150"/>
      <c r="AY33" s="2150"/>
      <c r="AZ33" s="2150"/>
      <c r="BA33" s="2150"/>
      <c r="BB33" s="2150"/>
      <c r="BC33" s="2150"/>
      <c r="BD33" s="421"/>
      <c r="BE33" s="421"/>
      <c r="BF33" s="421"/>
      <c r="BG33" s="421"/>
      <c r="BH33" s="421"/>
      <c r="BI33" s="421"/>
      <c r="BJ33" s="421"/>
      <c r="BK33" s="421"/>
      <c r="BL33" s="421"/>
      <c r="BM33" s="421"/>
      <c r="BN33" s="421"/>
      <c r="BO33" s="421"/>
      <c r="BP33" s="421"/>
      <c r="BQ33" s="421"/>
      <c r="BR33" s="421"/>
      <c r="BS33" s="421"/>
      <c r="BT33" s="421"/>
      <c r="BU33" s="421"/>
      <c r="BV33" s="421"/>
      <c r="BW33" s="421"/>
      <c r="BX33" s="421"/>
      <c r="BY33" s="421"/>
      <c r="BZ33" s="421"/>
      <c r="CA33" s="421"/>
      <c r="CB33" s="421"/>
      <c r="CC33" s="421"/>
    </row>
    <row r="34" spans="1:81" ht="15" hidden="1" thickBot="1">
      <c r="A34" s="2900" t="s">
        <v>1498</v>
      </c>
      <c r="B34" s="2901" t="s">
        <v>740</v>
      </c>
      <c r="C34" s="2902"/>
      <c r="D34" s="2902"/>
      <c r="E34" s="2902"/>
      <c r="F34" s="2902"/>
      <c r="G34" s="2902"/>
      <c r="H34" s="2902"/>
      <c r="I34" s="2902">
        <v>0.53600000000000003</v>
      </c>
      <c r="J34" s="2902">
        <v>0.67200000000000004</v>
      </c>
      <c r="K34" s="2902">
        <v>0.67430000000000001</v>
      </c>
      <c r="L34" s="2903">
        <v>0.67430000000000001</v>
      </c>
      <c r="M34" s="2904">
        <v>0.67430000000000001</v>
      </c>
      <c r="N34" s="2904">
        <v>0.67430000000000001</v>
      </c>
      <c r="O34" s="2902">
        <v>0.67430000000000001</v>
      </c>
      <c r="P34" s="2905">
        <v>0.67</v>
      </c>
      <c r="Q34" s="2905">
        <v>0.67</v>
      </c>
      <c r="R34" s="2906">
        <v>0.67430000000000001</v>
      </c>
      <c r="S34" s="2906">
        <v>0.67430000000000001</v>
      </c>
      <c r="T34" s="4599">
        <v>0.67430000000000001</v>
      </c>
      <c r="U34" s="4618"/>
      <c r="V34" s="2896"/>
      <c r="W34" s="2896"/>
      <c r="X34" s="2896"/>
      <c r="Y34" s="612"/>
      <c r="Z34" s="612"/>
      <c r="AA34" s="612"/>
      <c r="AB34" s="612"/>
      <c r="AC34" s="612"/>
      <c r="AD34" s="2907">
        <f t="shared" ref="AD34:AF38" si="32">N34</f>
        <v>0.67430000000000001</v>
      </c>
      <c r="AE34" s="2907">
        <f t="shared" si="32"/>
        <v>0.67430000000000001</v>
      </c>
      <c r="AF34" s="2908">
        <f t="shared" si="32"/>
        <v>0.67</v>
      </c>
      <c r="AG34" s="2909"/>
      <c r="AH34" s="593"/>
      <c r="AI34" s="593"/>
      <c r="AJ34" s="593"/>
      <c r="AK34" s="593"/>
      <c r="AL34" s="2883"/>
      <c r="AM34" s="612"/>
      <c r="AN34" s="2885"/>
      <c r="AO34" s="594"/>
      <c r="AP34" s="594"/>
      <c r="AQ34" s="594"/>
      <c r="AR34" s="594"/>
      <c r="AS34" s="594"/>
      <c r="AT34" s="594"/>
      <c r="AU34" s="2150"/>
      <c r="AV34" s="2150"/>
      <c r="AW34" s="2150"/>
      <c r="AX34" s="2150"/>
      <c r="AY34" s="2150"/>
      <c r="AZ34" s="2150"/>
      <c r="BA34" s="2150"/>
      <c r="BB34" s="2150"/>
      <c r="BC34" s="2150"/>
      <c r="BD34" s="421"/>
      <c r="BE34" s="421"/>
      <c r="BF34" s="421"/>
      <c r="BG34" s="421"/>
      <c r="BH34" s="421"/>
      <c r="BI34" s="421"/>
      <c r="BJ34" s="421"/>
      <c r="BK34" s="421"/>
      <c r="BL34" s="421"/>
      <c r="BM34" s="421"/>
      <c r="BN34" s="421"/>
      <c r="BO34" s="421"/>
      <c r="BP34" s="421"/>
      <c r="BQ34" s="421"/>
      <c r="BR34" s="421"/>
      <c r="BS34" s="421"/>
      <c r="BT34" s="421"/>
      <c r="BU34" s="421"/>
      <c r="BV34" s="421"/>
      <c r="BW34" s="421"/>
      <c r="BX34" s="421"/>
      <c r="BY34" s="421"/>
      <c r="BZ34" s="421"/>
      <c r="CA34" s="421"/>
      <c r="CB34" s="421"/>
      <c r="CC34" s="421"/>
    </row>
    <row r="35" spans="1:81" ht="22.2" hidden="1" thickBot="1">
      <c r="A35" s="2910" t="s">
        <v>647</v>
      </c>
      <c r="B35" s="2911" t="s">
        <v>741</v>
      </c>
      <c r="C35" s="2912"/>
      <c r="D35" s="2912"/>
      <c r="E35" s="2912"/>
      <c r="F35" s="2912"/>
      <c r="G35" s="2912"/>
      <c r="H35" s="2912"/>
      <c r="I35" s="2912">
        <v>9.4E-2</v>
      </c>
      <c r="J35" s="2912">
        <v>0.10199999999999999</v>
      </c>
      <c r="K35" s="2912">
        <v>0.11609999999999999</v>
      </c>
      <c r="L35" s="2913">
        <v>0.11609999999999999</v>
      </c>
      <c r="M35" s="2914">
        <v>0.11609999999999999</v>
      </c>
      <c r="N35" s="2914">
        <v>0.11609999999999999</v>
      </c>
      <c r="O35" s="2915">
        <v>0.11609999999999999</v>
      </c>
      <c r="P35" s="2916">
        <v>7.0000000000000007E-2</v>
      </c>
      <c r="Q35" s="2916">
        <v>0.1</v>
      </c>
      <c r="R35" s="2917">
        <v>0.11609999999999999</v>
      </c>
      <c r="S35" s="2917">
        <v>0.11609999999999999</v>
      </c>
      <c r="T35" s="4600">
        <v>0.11609999999999999</v>
      </c>
      <c r="U35" s="4618"/>
      <c r="V35" s="2896"/>
      <c r="W35" s="2896"/>
      <c r="X35" s="2896"/>
      <c r="Y35" s="612"/>
      <c r="Z35" s="612"/>
      <c r="AA35" s="612"/>
      <c r="AB35" s="612"/>
      <c r="AC35" s="612"/>
      <c r="AD35" s="2907">
        <f t="shared" si="32"/>
        <v>0.11609999999999999</v>
      </c>
      <c r="AE35" s="2907">
        <f t="shared" si="32"/>
        <v>0.11609999999999999</v>
      </c>
      <c r="AF35" s="2908">
        <f t="shared" si="32"/>
        <v>7.0000000000000007E-2</v>
      </c>
      <c r="AG35" s="2918"/>
      <c r="AH35" s="593"/>
      <c r="AI35" s="593"/>
      <c r="AJ35" s="593"/>
      <c r="AK35" s="593"/>
      <c r="AL35" s="612"/>
      <c r="AM35" s="612"/>
      <c r="AN35" s="2885"/>
      <c r="AO35" s="594"/>
      <c r="AP35" s="594"/>
      <c r="AQ35" s="594"/>
      <c r="AR35" s="594"/>
      <c r="AS35" s="594"/>
      <c r="AT35" s="594"/>
      <c r="AU35" s="2150"/>
      <c r="AV35" s="2150"/>
      <c r="AW35" s="2150"/>
      <c r="AX35" s="2150"/>
      <c r="AY35" s="2150"/>
      <c r="AZ35" s="2150"/>
      <c r="BA35" s="2150"/>
      <c r="BB35" s="2150"/>
      <c r="BC35" s="2150"/>
      <c r="BD35" s="421"/>
      <c r="BE35" s="421"/>
      <c r="BF35" s="421"/>
      <c r="BG35" s="421"/>
      <c r="BH35" s="421"/>
      <c r="BI35" s="421"/>
      <c r="BJ35" s="421"/>
      <c r="BK35" s="421"/>
      <c r="BL35" s="421"/>
      <c r="BM35" s="421"/>
      <c r="BN35" s="421"/>
      <c r="BO35" s="421"/>
      <c r="BP35" s="421"/>
      <c r="BQ35" s="421"/>
      <c r="BR35" s="421"/>
      <c r="BS35" s="421"/>
      <c r="BT35" s="421"/>
      <c r="BU35" s="421"/>
      <c r="BV35" s="421"/>
      <c r="BW35" s="421"/>
      <c r="BX35" s="421"/>
      <c r="BY35" s="421"/>
      <c r="BZ35" s="421"/>
      <c r="CA35" s="421"/>
      <c r="CB35" s="421"/>
      <c r="CC35" s="421"/>
    </row>
    <row r="36" spans="1:81" ht="22.2" hidden="1" thickBot="1">
      <c r="A36" s="2919" t="s">
        <v>739</v>
      </c>
      <c r="B36" s="2920" t="s">
        <v>745</v>
      </c>
      <c r="C36" s="2921"/>
      <c r="D36" s="2921"/>
      <c r="E36" s="2921"/>
      <c r="F36" s="2922"/>
      <c r="G36" s="2921"/>
      <c r="H36" s="2921"/>
      <c r="I36" s="2921">
        <v>3.0000000000000001E-3</v>
      </c>
      <c r="J36" s="2921">
        <v>2E-3</v>
      </c>
      <c r="K36" s="2921">
        <v>3.0000000000000001E-3</v>
      </c>
      <c r="L36" s="2923">
        <v>3.0000000000000001E-3</v>
      </c>
      <c r="M36" s="2924">
        <v>3.0000000000000001E-3</v>
      </c>
      <c r="N36" s="2924">
        <v>3.0000000000000001E-3</v>
      </c>
      <c r="O36" s="2912">
        <v>3.0000000000000001E-3</v>
      </c>
      <c r="P36" s="2925">
        <v>0.15</v>
      </c>
      <c r="Q36" s="2925">
        <v>0.15</v>
      </c>
      <c r="R36" s="2926">
        <v>3.0000000000000001E-3</v>
      </c>
      <c r="S36" s="2926">
        <v>3.0000000000000001E-3</v>
      </c>
      <c r="T36" s="4601">
        <v>3.0000000000000001E-3</v>
      </c>
      <c r="U36" s="4618"/>
      <c r="V36" s="2896"/>
      <c r="W36" s="2896"/>
      <c r="X36" s="2896"/>
      <c r="Y36" s="612"/>
      <c r="Z36" s="612"/>
      <c r="AA36" s="612"/>
      <c r="AB36" s="612"/>
      <c r="AC36" s="612"/>
      <c r="AD36" s="2907">
        <f t="shared" si="32"/>
        <v>3.0000000000000001E-3</v>
      </c>
      <c r="AE36" s="2907">
        <f t="shared" si="32"/>
        <v>3.0000000000000001E-3</v>
      </c>
      <c r="AF36" s="2908">
        <f t="shared" si="32"/>
        <v>0.15</v>
      </c>
      <c r="AG36" s="2918"/>
      <c r="AH36" s="593"/>
      <c r="AI36" s="593"/>
      <c r="AJ36" s="593"/>
      <c r="AK36" s="593"/>
      <c r="AL36" s="612"/>
      <c r="AM36" s="612"/>
      <c r="AN36" s="2885"/>
      <c r="AO36" s="594"/>
      <c r="AP36" s="594"/>
      <c r="AQ36" s="594"/>
      <c r="AR36" s="594"/>
      <c r="AS36" s="594"/>
      <c r="AT36" s="594"/>
      <c r="AU36" s="2150"/>
      <c r="AV36" s="2150"/>
      <c r="AW36" s="2150"/>
      <c r="AX36" s="2150"/>
      <c r="AY36" s="2150"/>
      <c r="AZ36" s="2150"/>
      <c r="BA36" s="2150"/>
      <c r="BB36" s="2150"/>
      <c r="BC36" s="2150"/>
      <c r="BD36" s="421"/>
      <c r="BE36" s="421"/>
      <c r="BF36" s="421"/>
      <c r="BG36" s="421"/>
      <c r="BH36" s="421"/>
      <c r="BI36" s="421"/>
      <c r="BJ36" s="421"/>
      <c r="BK36" s="421"/>
      <c r="BL36" s="421"/>
      <c r="BM36" s="421"/>
      <c r="BN36" s="421"/>
      <c r="BO36" s="421"/>
      <c r="BP36" s="421"/>
      <c r="BQ36" s="421"/>
      <c r="BR36" s="421"/>
      <c r="BS36" s="421"/>
      <c r="BT36" s="421"/>
      <c r="BU36" s="421"/>
      <c r="BV36" s="421"/>
      <c r="BW36" s="421"/>
      <c r="BX36" s="421"/>
      <c r="BY36" s="421"/>
      <c r="BZ36" s="421"/>
      <c r="CA36" s="421"/>
      <c r="CB36" s="421"/>
      <c r="CC36" s="421"/>
    </row>
    <row r="37" spans="1:81" ht="22.2" hidden="1" thickBot="1">
      <c r="A37" s="2927" t="s">
        <v>401</v>
      </c>
      <c r="B37" s="2920" t="s">
        <v>816</v>
      </c>
      <c r="C37" s="2912"/>
      <c r="D37" s="2912"/>
      <c r="E37" s="2912"/>
      <c r="F37" s="2912"/>
      <c r="G37" s="2912"/>
      <c r="H37" s="2912"/>
      <c r="I37" s="2912"/>
      <c r="J37" s="2912"/>
      <c r="K37" s="2912">
        <v>0.860930066613669</v>
      </c>
      <c r="L37" s="2913">
        <v>0.860930066613669</v>
      </c>
      <c r="M37" s="2924">
        <v>0.86</v>
      </c>
      <c r="N37" s="2924">
        <v>0.86</v>
      </c>
      <c r="O37" s="2912">
        <v>0.86</v>
      </c>
      <c r="P37" s="2925">
        <v>0.8</v>
      </c>
      <c r="Q37" s="2925">
        <v>0.8</v>
      </c>
      <c r="R37" s="2928">
        <v>0.86</v>
      </c>
      <c r="S37" s="2928">
        <v>0.86</v>
      </c>
      <c r="T37" s="4602">
        <v>0.86</v>
      </c>
      <c r="U37" s="4618"/>
      <c r="V37" s="2896"/>
      <c r="W37" s="2896"/>
      <c r="X37" s="2896"/>
      <c r="Y37" s="612"/>
      <c r="Z37" s="2896"/>
      <c r="AA37" s="612"/>
      <c r="AB37" s="612"/>
      <c r="AC37" s="612"/>
      <c r="AD37" s="2907">
        <f t="shared" si="32"/>
        <v>0.86</v>
      </c>
      <c r="AE37" s="2907">
        <f t="shared" si="32"/>
        <v>0.86</v>
      </c>
      <c r="AF37" s="2908">
        <f t="shared" si="32"/>
        <v>0.8</v>
      </c>
      <c r="AG37" s="2918"/>
      <c r="AH37" s="593"/>
      <c r="AI37" s="593"/>
      <c r="AJ37" s="593"/>
      <c r="AK37" s="593"/>
      <c r="AL37" s="612"/>
      <c r="AM37" s="612"/>
      <c r="AN37" s="2885"/>
      <c r="AO37" s="594"/>
      <c r="AP37" s="594"/>
      <c r="AQ37" s="594"/>
      <c r="AR37" s="594"/>
      <c r="AS37" s="594"/>
      <c r="AT37" s="594"/>
      <c r="AU37" s="2150"/>
      <c r="AV37" s="2150"/>
      <c r="AW37" s="2150"/>
      <c r="AX37" s="2150"/>
      <c r="AY37" s="2150"/>
      <c r="AZ37" s="2150"/>
      <c r="BA37" s="2150"/>
      <c r="BB37" s="2150"/>
      <c r="BC37" s="2150"/>
      <c r="BD37" s="421"/>
      <c r="BE37" s="421"/>
      <c r="BF37" s="421"/>
      <c r="BG37" s="421"/>
      <c r="BH37" s="421"/>
      <c r="BI37" s="421"/>
      <c r="BJ37" s="421"/>
      <c r="BK37" s="421"/>
      <c r="BL37" s="421"/>
      <c r="BM37" s="421"/>
      <c r="BN37" s="421"/>
      <c r="BO37" s="421"/>
      <c r="BP37" s="421"/>
      <c r="BQ37" s="421"/>
      <c r="BR37" s="421"/>
      <c r="BS37" s="421"/>
      <c r="BT37" s="421"/>
      <c r="BU37" s="421"/>
      <c r="BV37" s="421"/>
      <c r="BW37" s="421"/>
      <c r="BX37" s="421"/>
      <c r="BY37" s="421"/>
      <c r="BZ37" s="421"/>
      <c r="CA37" s="421"/>
      <c r="CB37" s="421"/>
      <c r="CC37" s="421"/>
    </row>
    <row r="38" spans="1:81" ht="15" hidden="1" thickBot="1">
      <c r="A38" s="3023" t="s">
        <v>1399</v>
      </c>
      <c r="B38" s="3024" t="s">
        <v>1398</v>
      </c>
      <c r="C38" s="2915"/>
      <c r="D38" s="2915"/>
      <c r="E38" s="2915"/>
      <c r="F38" s="2915"/>
      <c r="G38" s="2915"/>
      <c r="H38" s="2915"/>
      <c r="I38" s="2915"/>
      <c r="J38" s="2915"/>
      <c r="K38" s="2915">
        <v>0.08</v>
      </c>
      <c r="L38" s="3025">
        <f t="shared" ref="L38:N39" si="33">K38</f>
        <v>0.08</v>
      </c>
      <c r="M38" s="3025">
        <f t="shared" si="33"/>
        <v>0.08</v>
      </c>
      <c r="N38" s="3025">
        <f t="shared" si="33"/>
        <v>0.08</v>
      </c>
      <c r="O38" s="2915">
        <v>0.08</v>
      </c>
      <c r="P38" s="2916">
        <v>0.2</v>
      </c>
      <c r="Q38" s="2916">
        <v>0.2</v>
      </c>
      <c r="R38" s="3026"/>
      <c r="S38" s="3026"/>
      <c r="T38" s="3026"/>
      <c r="U38" s="4619"/>
      <c r="V38" s="3027"/>
      <c r="W38" s="3027"/>
      <c r="X38" s="3027"/>
      <c r="Y38" s="3028"/>
      <c r="Z38" s="3027"/>
      <c r="AA38" s="3028"/>
      <c r="AB38" s="3028"/>
      <c r="AC38" s="3028"/>
      <c r="AD38" s="2907">
        <f t="shared" si="32"/>
        <v>0.08</v>
      </c>
      <c r="AE38" s="2907">
        <f t="shared" si="32"/>
        <v>0.08</v>
      </c>
      <c r="AF38" s="2908">
        <f t="shared" si="32"/>
        <v>0.2</v>
      </c>
      <c r="AG38" s="3029"/>
      <c r="AH38" s="593"/>
      <c r="AI38" s="593"/>
      <c r="AJ38" s="593"/>
      <c r="AK38" s="593"/>
      <c r="AL38" s="612"/>
      <c r="AM38" s="612"/>
      <c r="AN38" s="2885"/>
      <c r="AO38" s="594"/>
      <c r="AP38" s="594"/>
      <c r="AQ38" s="594"/>
      <c r="AR38" s="594"/>
      <c r="AS38" s="594"/>
      <c r="AT38" s="594"/>
      <c r="AU38" s="2150"/>
      <c r="AV38" s="2150"/>
      <c r="AW38" s="2150"/>
      <c r="AX38" s="2150"/>
      <c r="AY38" s="2150"/>
      <c r="AZ38" s="2150"/>
      <c r="BA38" s="2150"/>
      <c r="BB38" s="2150"/>
      <c r="BC38" s="2150"/>
      <c r="BD38" s="421"/>
      <c r="BE38" s="421"/>
      <c r="BF38" s="421"/>
      <c r="BG38" s="421"/>
      <c r="BH38" s="421"/>
      <c r="BI38" s="421"/>
      <c r="BJ38" s="421"/>
      <c r="BK38" s="421"/>
      <c r="BL38" s="421"/>
      <c r="BM38" s="421"/>
      <c r="BN38" s="421"/>
      <c r="BO38" s="421"/>
      <c r="BP38" s="421"/>
      <c r="BQ38" s="421"/>
      <c r="BR38" s="421"/>
      <c r="BS38" s="421"/>
      <c r="BT38" s="421"/>
      <c r="BU38" s="421"/>
      <c r="BV38" s="421"/>
      <c r="BW38" s="421"/>
      <c r="BX38" s="421"/>
      <c r="BY38" s="421"/>
      <c r="BZ38" s="421"/>
      <c r="CA38" s="421"/>
      <c r="CB38" s="421"/>
      <c r="CC38" s="421"/>
    </row>
    <row r="39" spans="1:81" ht="15" hidden="1" thickBot="1">
      <c r="A39" s="3012" t="s">
        <v>629</v>
      </c>
      <c r="B39" s="3013" t="s">
        <v>1520</v>
      </c>
      <c r="C39" s="3014"/>
      <c r="D39" s="3014"/>
      <c r="E39" s="3014"/>
      <c r="F39" s="3014"/>
      <c r="G39" s="3014"/>
      <c r="H39" s="3014"/>
      <c r="I39" s="3014"/>
      <c r="J39" s="3014"/>
      <c r="K39" s="3014">
        <f>'perfil-mas visitado'!Q13/100</f>
        <v>9.2166576532394892E-2</v>
      </c>
      <c r="L39" s="3015">
        <f t="shared" si="33"/>
        <v>9.2166576532394892E-2</v>
      </c>
      <c r="M39" s="3015">
        <f t="shared" si="33"/>
        <v>9.2166576532394892E-2</v>
      </c>
      <c r="N39" s="3015">
        <f t="shared" si="33"/>
        <v>9.2166576532394892E-2</v>
      </c>
      <c r="O39" s="3030">
        <v>7.0000000000000007E-2</v>
      </c>
      <c r="P39" s="3016">
        <v>7.0000000000000007E-2</v>
      </c>
      <c r="Q39" s="3016">
        <v>7.0000000000000007E-2</v>
      </c>
      <c r="R39" s="3017"/>
      <c r="S39" s="3017"/>
      <c r="T39" s="3017"/>
      <c r="U39" s="4620"/>
      <c r="V39" s="3018"/>
      <c r="W39" s="3018"/>
      <c r="X39" s="3018"/>
      <c r="Y39" s="3019"/>
      <c r="Z39" s="3018"/>
      <c r="AA39" s="3019"/>
      <c r="AB39" s="3019"/>
      <c r="AC39" s="3019"/>
      <c r="AD39" s="3022">
        <f t="shared" ref="AD39:AF40" si="34">N39</f>
        <v>9.2166576532394892E-2</v>
      </c>
      <c r="AE39" s="3022">
        <f t="shared" si="34"/>
        <v>7.0000000000000007E-2</v>
      </c>
      <c r="AF39" s="3020">
        <f t="shared" si="34"/>
        <v>7.0000000000000007E-2</v>
      </c>
      <c r="AG39" s="3020"/>
      <c r="AH39" s="593"/>
      <c r="AI39" s="593"/>
      <c r="AJ39" s="593"/>
      <c r="AK39" s="593"/>
      <c r="AL39" s="3019"/>
      <c r="AM39" s="3019"/>
      <c r="AN39" s="3021"/>
      <c r="AO39" s="594"/>
      <c r="AP39" s="594"/>
      <c r="AQ39" s="594"/>
      <c r="AR39" s="594"/>
      <c r="AS39" s="594"/>
      <c r="AT39" s="594"/>
      <c r="AU39" s="2150"/>
      <c r="AV39" s="2150"/>
      <c r="AW39" s="2150"/>
      <c r="AX39" s="2150"/>
      <c r="AY39" s="2150"/>
      <c r="AZ39" s="2150"/>
      <c r="BA39" s="2150"/>
      <c r="BB39" s="2150"/>
      <c r="BC39" s="2150"/>
      <c r="BD39" s="421"/>
      <c r="BE39" s="421"/>
      <c r="BF39" s="421"/>
      <c r="BG39" s="421"/>
      <c r="BH39" s="421"/>
      <c r="BI39" s="421"/>
      <c r="BJ39" s="421"/>
      <c r="BK39" s="421"/>
      <c r="BL39" s="421"/>
      <c r="BM39" s="421"/>
      <c r="BN39" s="421"/>
      <c r="BO39" s="421"/>
      <c r="BP39" s="421"/>
      <c r="BQ39" s="421"/>
      <c r="BR39" s="421"/>
      <c r="BS39" s="421"/>
      <c r="BT39" s="421"/>
      <c r="BU39" s="421"/>
      <c r="BV39" s="421"/>
      <c r="BW39" s="421"/>
      <c r="BX39" s="421"/>
      <c r="BY39" s="421"/>
      <c r="BZ39" s="421"/>
      <c r="CA39" s="421"/>
      <c r="CB39" s="421"/>
      <c r="CC39" s="421"/>
    </row>
    <row r="40" spans="1:81" ht="15" hidden="1" thickBot="1">
      <c r="A40" s="3680" t="s">
        <v>1574</v>
      </c>
      <c r="B40" s="3681"/>
      <c r="C40" s="3682"/>
      <c r="D40" s="3682"/>
      <c r="E40" s="3682"/>
      <c r="F40" s="3682"/>
      <c r="G40" s="3682"/>
      <c r="H40" s="3682"/>
      <c r="I40" s="3682"/>
      <c r="J40" s="3682"/>
      <c r="K40" s="3682"/>
      <c r="L40" s="3683"/>
      <c r="M40" s="3683">
        <v>0.04</v>
      </c>
      <c r="N40" s="3683">
        <v>0.04</v>
      </c>
      <c r="O40" s="3683">
        <v>0.04</v>
      </c>
      <c r="P40" s="3683">
        <v>0.04</v>
      </c>
      <c r="Q40" s="3683">
        <v>0.04</v>
      </c>
      <c r="R40" s="3684"/>
      <c r="S40" s="3684"/>
      <c r="T40" s="3684"/>
      <c r="U40" s="4621"/>
      <c r="V40" s="3685"/>
      <c r="W40" s="3685"/>
      <c r="X40" s="3685"/>
      <c r="Y40" s="3686"/>
      <c r="Z40" s="3685"/>
      <c r="AA40" s="3686"/>
      <c r="AB40" s="3686"/>
      <c r="AC40" s="3686"/>
      <c r="AD40" s="3687">
        <f t="shared" si="34"/>
        <v>0.04</v>
      </c>
      <c r="AE40" s="3687">
        <f t="shared" si="34"/>
        <v>0.04</v>
      </c>
      <c r="AF40" s="3688">
        <f t="shared" si="34"/>
        <v>0.04</v>
      </c>
      <c r="AG40" s="3688"/>
      <c r="AH40" s="593"/>
      <c r="AI40" s="593"/>
      <c r="AJ40" s="593"/>
      <c r="AK40" s="593"/>
      <c r="AL40" s="3686"/>
      <c r="AM40" s="3686"/>
      <c r="AN40" s="3689"/>
      <c r="AO40" s="594"/>
      <c r="AP40" s="594"/>
      <c r="AQ40" s="594"/>
      <c r="AR40" s="594"/>
      <c r="AS40" s="594"/>
      <c r="AT40" s="594"/>
      <c r="AU40" s="2150"/>
      <c r="AV40" s="2150"/>
      <c r="AW40" s="2150"/>
      <c r="AX40" s="2150"/>
      <c r="AY40" s="2150"/>
      <c r="AZ40" s="2150"/>
      <c r="BA40" s="2150"/>
      <c r="BB40" s="2150"/>
      <c r="BC40" s="2150"/>
      <c r="BD40" s="421"/>
      <c r="BE40" s="421"/>
      <c r="BF40" s="421"/>
      <c r="BG40" s="421"/>
      <c r="BH40" s="421"/>
      <c r="BI40" s="421"/>
      <c r="BJ40" s="421"/>
      <c r="BK40" s="421"/>
      <c r="BL40" s="421"/>
      <c r="BM40" s="421"/>
      <c r="BN40" s="421"/>
      <c r="BO40" s="421"/>
      <c r="BP40" s="421"/>
      <c r="BQ40" s="421"/>
      <c r="BR40" s="421"/>
      <c r="BS40" s="421"/>
      <c r="BT40" s="421"/>
      <c r="BU40" s="421"/>
      <c r="BV40" s="421"/>
      <c r="BW40" s="421"/>
      <c r="BX40" s="421"/>
      <c r="BY40" s="421"/>
      <c r="BZ40" s="421"/>
      <c r="CA40" s="421"/>
      <c r="CB40" s="421"/>
      <c r="CC40" s="421"/>
    </row>
    <row r="41" spans="1:81">
      <c r="A41" s="5367" t="s">
        <v>1503</v>
      </c>
      <c r="B41" s="2929" t="s">
        <v>737</v>
      </c>
      <c r="C41" s="2935">
        <f>$C$16*C34</f>
        <v>0</v>
      </c>
      <c r="D41" s="2935">
        <f>$D$16*D34</f>
        <v>0</v>
      </c>
      <c r="E41" s="2935">
        <f>$E$16*E34</f>
        <v>0</v>
      </c>
      <c r="F41" s="2935">
        <f>$F$16*F34</f>
        <v>0</v>
      </c>
      <c r="G41" s="2935">
        <f>$G$16*G34</f>
        <v>0</v>
      </c>
      <c r="H41" s="2935">
        <f>$H$16*H34</f>
        <v>0</v>
      </c>
      <c r="I41" s="2935">
        <f>$I$16*I34</f>
        <v>376816.04000000004</v>
      </c>
      <c r="J41" s="2936">
        <f>$J$16*J34</f>
        <v>479053.34400000004</v>
      </c>
      <c r="K41" s="2936">
        <f>$K$16*K34</f>
        <v>423208.21179999999</v>
      </c>
      <c r="L41" s="2936">
        <f>$L$16*L34</f>
        <v>440271.37330000004</v>
      </c>
      <c r="M41" s="2937">
        <f>$M$16*M34</f>
        <v>466947.35560000001</v>
      </c>
      <c r="N41" s="2937">
        <f>N16*$N$34</f>
        <v>461484.17700000003</v>
      </c>
      <c r="O41" s="2937">
        <f>O16*$O$34</f>
        <v>128398.18309999999</v>
      </c>
      <c r="P41" s="2937">
        <f>P16*$P$34</f>
        <v>188267.32</v>
      </c>
      <c r="Q41" s="2937">
        <f>Q16*$Q$34</f>
        <v>320521.97000000003</v>
      </c>
      <c r="R41" s="2938">
        <f>R16*$M$34</f>
        <v>451610.67182000005</v>
      </c>
      <c r="S41" s="2938">
        <f>S16*$M$34</f>
        <v>632254.94054800004</v>
      </c>
      <c r="T41" s="4603">
        <f>T16*$M$34</f>
        <v>885156.91676720011</v>
      </c>
      <c r="U41" s="4622" t="s">
        <v>1912</v>
      </c>
      <c r="V41" s="2939"/>
      <c r="W41" s="2939"/>
      <c r="X41" s="2939"/>
      <c r="Y41" s="2940"/>
      <c r="Z41" s="2939"/>
      <c r="AA41" s="2941"/>
      <c r="AB41" s="2941"/>
      <c r="AC41" s="2941"/>
      <c r="AD41" s="5351">
        <f>N17*$AE$34</f>
        <v>179967.2985</v>
      </c>
      <c r="AE41" s="5351">
        <f>O17*$AE$34</f>
        <v>91660.296199999997</v>
      </c>
      <c r="AF41" s="5351">
        <f>P17*$AF$34</f>
        <v>45287.98</v>
      </c>
      <c r="AG41" s="5353">
        <f>AF41/AE41-1</f>
        <v>-0.50591497215781411</v>
      </c>
      <c r="AH41" s="593"/>
      <c r="AI41" s="593"/>
      <c r="AJ41" s="593"/>
      <c r="AK41" s="593"/>
      <c r="AL41" s="2942">
        <f>Q41/360</f>
        <v>890.33880555555561</v>
      </c>
      <c r="AM41" s="2942"/>
      <c r="AN41" s="5367" t="s">
        <v>1503</v>
      </c>
      <c r="AO41" s="594"/>
      <c r="AP41" s="594"/>
      <c r="AQ41" s="594"/>
      <c r="AR41" s="594"/>
      <c r="AS41" s="594"/>
      <c r="AT41" s="594"/>
      <c r="AU41" s="2130"/>
      <c r="AV41" s="2130"/>
      <c r="AW41" s="2130"/>
      <c r="AX41" s="2130"/>
      <c r="AY41" s="2130"/>
      <c r="AZ41" s="2130"/>
      <c r="BA41" s="2130"/>
      <c r="BB41" s="2130"/>
      <c r="BC41" s="2130"/>
      <c r="BD41" s="421"/>
      <c r="BE41" s="421"/>
      <c r="BF41" s="421"/>
      <c r="BG41" s="421"/>
      <c r="BH41" s="421"/>
      <c r="BI41" s="421"/>
      <c r="BJ41" s="421"/>
      <c r="BK41" s="421"/>
      <c r="BL41" s="421"/>
      <c r="BM41" s="421"/>
      <c r="BN41" s="421"/>
      <c r="BO41" s="421"/>
      <c r="BP41" s="421"/>
      <c r="BQ41" s="421"/>
      <c r="BR41" s="421"/>
      <c r="BS41" s="421"/>
      <c r="BT41" s="421"/>
      <c r="BU41" s="421"/>
      <c r="BV41" s="421"/>
      <c r="BW41" s="421"/>
      <c r="BX41" s="421"/>
      <c r="BY41" s="421"/>
      <c r="BZ41" s="421"/>
      <c r="CA41" s="421"/>
      <c r="CB41" s="421"/>
      <c r="CC41" s="421"/>
    </row>
    <row r="42" spans="1:81" ht="15" thickBot="1">
      <c r="A42" s="5368"/>
      <c r="B42" s="2943" t="s">
        <v>478</v>
      </c>
      <c r="C42" s="2944"/>
      <c r="D42" s="2944"/>
      <c r="E42" s="2944"/>
      <c r="F42" s="2944"/>
      <c r="G42" s="2944"/>
      <c r="H42" s="2944"/>
      <c r="I42" s="2944"/>
      <c r="J42" s="2945">
        <f t="shared" ref="J42:Q42" si="35">J41/I41-1</f>
        <v>0.27131887485469042</v>
      </c>
      <c r="K42" s="2945">
        <f t="shared" si="35"/>
        <v>-0.11657393252639536</v>
      </c>
      <c r="L42" s="2945">
        <f t="shared" si="35"/>
        <v>4.0318597381242993E-2</v>
      </c>
      <c r="M42" s="2946">
        <f t="shared" si="35"/>
        <v>6.0589863247418219E-2</v>
      </c>
      <c r="N42" s="2946">
        <f t="shared" si="35"/>
        <v>-1.1699774149015352E-2</v>
      </c>
      <c r="O42" s="2946">
        <f t="shared" si="35"/>
        <v>-0.7217712123204606</v>
      </c>
      <c r="P42" s="2946">
        <f t="shared" si="35"/>
        <v>0.46627713457107345</v>
      </c>
      <c r="Q42" s="2946">
        <f t="shared" si="35"/>
        <v>0.70248330937095194</v>
      </c>
      <c r="R42" s="2947"/>
      <c r="S42" s="2947"/>
      <c r="T42" s="2947"/>
      <c r="U42" s="4623" t="s">
        <v>755</v>
      </c>
      <c r="V42" s="2824"/>
      <c r="W42" s="2824"/>
      <c r="X42" s="2824"/>
      <c r="Y42" s="2948"/>
      <c r="Z42" s="2824"/>
      <c r="AA42" s="2824"/>
      <c r="AB42" s="2882"/>
      <c r="AC42" s="2882"/>
      <c r="AD42" s="5352"/>
      <c r="AE42" s="5352"/>
      <c r="AF42" s="5352"/>
      <c r="AG42" s="5354"/>
      <c r="AH42" s="593"/>
      <c r="AI42" s="593"/>
      <c r="AJ42" s="593"/>
      <c r="AK42" s="593"/>
      <c r="AL42" s="2949"/>
      <c r="AM42" s="2949"/>
      <c r="AN42" s="5368"/>
      <c r="AO42" s="594"/>
      <c r="AP42" s="594"/>
      <c r="AQ42" s="594"/>
      <c r="AR42" s="594"/>
      <c r="AS42" s="594"/>
      <c r="AT42" s="594"/>
      <c r="AU42" s="2130"/>
      <c r="AV42" s="2130"/>
      <c r="AW42" s="2130"/>
      <c r="AX42" s="2130"/>
      <c r="AY42" s="2130"/>
      <c r="AZ42" s="2130"/>
      <c r="BA42" s="2130"/>
      <c r="BB42" s="2130"/>
      <c r="BC42" s="2130"/>
      <c r="BD42" s="421"/>
      <c r="BE42" s="421"/>
      <c r="BF42" s="421"/>
      <c r="BG42" s="421"/>
      <c r="BH42" s="421"/>
      <c r="BI42" s="421"/>
      <c r="BJ42" s="421"/>
      <c r="BK42" s="421"/>
      <c r="BL42" s="421"/>
      <c r="BM42" s="421"/>
      <c r="BN42" s="421"/>
      <c r="BO42" s="421"/>
      <c r="BP42" s="421"/>
      <c r="BQ42" s="421"/>
      <c r="BR42" s="421"/>
      <c r="BS42" s="421"/>
      <c r="BT42" s="421"/>
      <c r="BU42" s="421"/>
      <c r="BV42" s="421"/>
      <c r="BW42" s="421"/>
      <c r="BX42" s="421"/>
      <c r="BY42" s="421"/>
      <c r="BZ42" s="421"/>
      <c r="CA42" s="421"/>
      <c r="CB42" s="421"/>
      <c r="CC42" s="421"/>
    </row>
    <row r="43" spans="1:81">
      <c r="A43" s="5325" t="s">
        <v>1499</v>
      </c>
      <c r="B43" s="2950" t="s">
        <v>647</v>
      </c>
      <c r="C43" s="2951">
        <f>$C$16*C35</f>
        <v>0</v>
      </c>
      <c r="D43" s="2951">
        <f>$D$16*D35</f>
        <v>0</v>
      </c>
      <c r="E43" s="2951">
        <f>$E$16*E35</f>
        <v>0</v>
      </c>
      <c r="F43" s="2951">
        <f>$F$16*F35</f>
        <v>0</v>
      </c>
      <c r="G43" s="2951">
        <f>$G$16*G35</f>
        <v>0</v>
      </c>
      <c r="H43" s="2951">
        <f>$H$16*H35</f>
        <v>0</v>
      </c>
      <c r="I43" s="2951">
        <f>$I$16*I35</f>
        <v>66083.41</v>
      </c>
      <c r="J43" s="2952">
        <f>$J$16*J35</f>
        <v>72713.453999999998</v>
      </c>
      <c r="K43" s="2952">
        <f>$K$16*K35</f>
        <v>72867.378599999996</v>
      </c>
      <c r="L43" s="2952">
        <f>$L$16*L35</f>
        <v>75805.289099999995</v>
      </c>
      <c r="M43" s="2953">
        <f>M16*M35</f>
        <v>80398.321199999991</v>
      </c>
      <c r="N43" s="2953">
        <f>N16*N35</f>
        <v>79457.679000000004</v>
      </c>
      <c r="O43" s="2953">
        <f>$O$16*O35</f>
        <v>22107.413699999997</v>
      </c>
      <c r="P43" s="2953">
        <f>$P$16*P35</f>
        <v>19669.72</v>
      </c>
      <c r="Q43" s="2953">
        <f>$P$16*Q35</f>
        <v>28099.600000000002</v>
      </c>
      <c r="R43" s="2952">
        <f>$M$16*R35</f>
        <v>80398.321199999991</v>
      </c>
      <c r="S43" s="2952">
        <f>$M$16*S35</f>
        <v>80398.321199999991</v>
      </c>
      <c r="T43" s="4604">
        <f>$M$16*T35</f>
        <v>80398.321199999991</v>
      </c>
      <c r="U43" s="4624" t="s">
        <v>1912</v>
      </c>
      <c r="V43" s="2939"/>
      <c r="W43" s="2939"/>
      <c r="X43" s="2939"/>
      <c r="Y43" s="2941"/>
      <c r="Z43" s="2939"/>
      <c r="AA43" s="2939"/>
      <c r="AB43" s="2941"/>
      <c r="AC43" s="2941"/>
      <c r="AD43" s="5355">
        <f>N17*AD35</f>
        <v>30986.5095</v>
      </c>
      <c r="AE43" s="5355">
        <f>O17*AE35</f>
        <v>15781.937399999999</v>
      </c>
      <c r="AF43" s="5355">
        <f>P17*AF35</f>
        <v>4731.5800000000008</v>
      </c>
      <c r="AG43" s="5357">
        <f>AF43/AE43-1</f>
        <v>-0.70019016803348866</v>
      </c>
      <c r="AH43" s="593"/>
      <c r="AI43" s="593"/>
      <c r="AJ43" s="593"/>
      <c r="AK43" s="593"/>
      <c r="AL43" s="2954">
        <f>Q43/360</f>
        <v>78.054444444444457</v>
      </c>
      <c r="AM43" s="2954"/>
      <c r="AN43" s="5325" t="s">
        <v>1499</v>
      </c>
      <c r="AO43" s="594"/>
      <c r="AP43" s="594"/>
      <c r="AQ43" s="594"/>
      <c r="AR43" s="594"/>
      <c r="AS43" s="594"/>
      <c r="AT43" s="594"/>
      <c r="AU43" s="2130"/>
      <c r="AV43" s="2130"/>
      <c r="AW43" s="2130"/>
      <c r="AX43" s="2130"/>
      <c r="AY43" s="2130"/>
      <c r="AZ43" s="2130"/>
      <c r="BA43" s="2130"/>
      <c r="BB43" s="2130"/>
      <c r="BC43" s="2130"/>
      <c r="BD43" s="421"/>
      <c r="BE43" s="421"/>
      <c r="BF43" s="421"/>
      <c r="BG43" s="421"/>
      <c r="BH43" s="421"/>
      <c r="BI43" s="421"/>
      <c r="BJ43" s="421"/>
      <c r="BK43" s="421"/>
      <c r="BL43" s="421"/>
      <c r="BM43" s="421"/>
      <c r="BN43" s="421"/>
      <c r="BO43" s="421"/>
      <c r="BP43" s="421"/>
      <c r="BQ43" s="421"/>
      <c r="BR43" s="421"/>
      <c r="BS43" s="421"/>
      <c r="BT43" s="421"/>
      <c r="BU43" s="421"/>
      <c r="BV43" s="421"/>
      <c r="BW43" s="421"/>
      <c r="BX43" s="421"/>
      <c r="BY43" s="421"/>
      <c r="BZ43" s="421"/>
      <c r="CA43" s="421"/>
      <c r="CB43" s="421"/>
      <c r="CC43" s="421"/>
    </row>
    <row r="44" spans="1:81" ht="15" thickBot="1">
      <c r="A44" s="5326"/>
      <c r="B44" s="2955" t="s">
        <v>478</v>
      </c>
      <c r="C44" s="2956"/>
      <c r="D44" s="2956"/>
      <c r="E44" s="2956"/>
      <c r="F44" s="2956"/>
      <c r="G44" s="2956"/>
      <c r="H44" s="2956"/>
      <c r="I44" s="2956"/>
      <c r="J44" s="2957">
        <f>J43/I43-1</f>
        <v>0.100328418282289</v>
      </c>
      <c r="K44" s="2957">
        <f>K43/J43-1</f>
        <v>2.1168654703158651E-3</v>
      </c>
      <c r="L44" s="2957">
        <f>L43/K43-1</f>
        <v>4.0318597381242993E-2</v>
      </c>
      <c r="M44" s="2958">
        <f>M43/L43-1</f>
        <v>6.0589863247418219E-2</v>
      </c>
      <c r="N44" s="2958">
        <f t="shared" ref="N44:T44" si="36">N43/M43-1</f>
        <v>-1.1699774149015241E-2</v>
      </c>
      <c r="O44" s="2958">
        <f t="shared" si="36"/>
        <v>-0.7217712123204606</v>
      </c>
      <c r="P44" s="2958">
        <f>P43/O43-1</f>
        <v>-0.11026589238704099</v>
      </c>
      <c r="Q44" s="2958">
        <f>Q43/P43-1</f>
        <v>0.4285714285714286</v>
      </c>
      <c r="R44" s="2957">
        <f t="shared" si="36"/>
        <v>1.8611909493373564</v>
      </c>
      <c r="S44" s="2957">
        <f t="shared" si="36"/>
        <v>0</v>
      </c>
      <c r="T44" s="4605">
        <f t="shared" si="36"/>
        <v>0</v>
      </c>
      <c r="U44" s="4625" t="s">
        <v>755</v>
      </c>
      <c r="V44" s="2824"/>
      <c r="W44" s="2824"/>
      <c r="X44" s="2824"/>
      <c r="Y44" s="2882"/>
      <c r="Z44" s="2824"/>
      <c r="AA44" s="2824"/>
      <c r="AB44" s="2882"/>
      <c r="AC44" s="2882"/>
      <c r="AD44" s="5356"/>
      <c r="AE44" s="5356"/>
      <c r="AF44" s="5356"/>
      <c r="AG44" s="5358"/>
      <c r="AH44" s="593"/>
      <c r="AI44" s="593"/>
      <c r="AJ44" s="593"/>
      <c r="AK44" s="593"/>
      <c r="AL44" s="2959"/>
      <c r="AM44" s="2959"/>
      <c r="AN44" s="5326"/>
      <c r="AO44" s="594"/>
      <c r="AP44" s="594"/>
      <c r="AQ44" s="594"/>
      <c r="AR44" s="594"/>
      <c r="AS44" s="594"/>
      <c r="AT44" s="594"/>
      <c r="AU44" s="2130"/>
      <c r="AV44" s="2130"/>
      <c r="AW44" s="2130"/>
      <c r="AX44" s="2130"/>
      <c r="AY44" s="2130"/>
      <c r="AZ44" s="2130"/>
      <c r="BA44" s="2130"/>
      <c r="BB44" s="2130"/>
      <c r="BC44" s="2130"/>
      <c r="BD44" s="421"/>
      <c r="BE44" s="421"/>
      <c r="BF44" s="421"/>
      <c r="BG44" s="421"/>
      <c r="BH44" s="421"/>
      <c r="BI44" s="421"/>
      <c r="BJ44" s="421"/>
      <c r="BK44" s="421"/>
      <c r="BL44" s="421"/>
      <c r="BM44" s="421"/>
      <c r="BN44" s="421"/>
      <c r="BO44" s="421"/>
      <c r="BP44" s="421"/>
      <c r="BQ44" s="421"/>
      <c r="BR44" s="421"/>
      <c r="BS44" s="421"/>
      <c r="BT44" s="421"/>
      <c r="BU44" s="421"/>
      <c r="BV44" s="421"/>
      <c r="BW44" s="421"/>
      <c r="BX44" s="421"/>
      <c r="BY44" s="421"/>
      <c r="BZ44" s="421"/>
      <c r="CA44" s="421"/>
      <c r="CB44" s="421"/>
      <c r="CC44" s="421"/>
    </row>
    <row r="45" spans="1:81" ht="15" thickBot="1">
      <c r="A45" s="5327" t="s">
        <v>1500</v>
      </c>
      <c r="B45" s="2960" t="s">
        <v>739</v>
      </c>
      <c r="C45" s="2961"/>
      <c r="D45" s="2961"/>
      <c r="E45" s="2961"/>
      <c r="F45" s="2961">
        <f>$F$16*F36</f>
        <v>0</v>
      </c>
      <c r="G45" s="2961">
        <f>$G$16*G36</f>
        <v>0</v>
      </c>
      <c r="H45" s="2961">
        <f>$H$16*H36</f>
        <v>0</v>
      </c>
      <c r="I45" s="2961">
        <f>$I$16*I36</f>
        <v>2109.0450000000001</v>
      </c>
      <c r="J45" s="2962">
        <f>$J$16*J36</f>
        <v>1425.7540000000001</v>
      </c>
      <c r="K45" s="2962">
        <f>$K$16*K36</f>
        <v>1882.8779999999999</v>
      </c>
      <c r="L45" s="2962">
        <f>$L$16*L36</f>
        <v>1958.7930000000001</v>
      </c>
      <c r="M45" s="2963">
        <f>$M$16*M36</f>
        <v>2077.4760000000001</v>
      </c>
      <c r="N45" s="2963">
        <f>$N$16*N36</f>
        <v>2053.17</v>
      </c>
      <c r="O45" s="2963">
        <f>$O$16*O36</f>
        <v>571.25099999999998</v>
      </c>
      <c r="P45" s="2963">
        <f>$P$16*P36</f>
        <v>42149.4</v>
      </c>
      <c r="Q45" s="2963">
        <f>$P$16*Q36</f>
        <v>42149.4</v>
      </c>
      <c r="R45" s="2962">
        <f>$M$16*R36</f>
        <v>2077.4760000000001</v>
      </c>
      <c r="S45" s="2962">
        <f>$M$16*S36</f>
        <v>2077.4760000000001</v>
      </c>
      <c r="T45" s="4606">
        <f>$M$16*T36</f>
        <v>2077.4760000000001</v>
      </c>
      <c r="U45" s="4626" t="s">
        <v>1912</v>
      </c>
      <c r="V45" s="2939"/>
      <c r="W45" s="2939"/>
      <c r="X45" s="2939"/>
      <c r="Y45" s="2941"/>
      <c r="Z45" s="2939"/>
      <c r="AA45" s="2939"/>
      <c r="AB45" s="2941"/>
      <c r="AC45" s="2941"/>
      <c r="AD45" s="5359">
        <f>N17*AD36</f>
        <v>800.68500000000006</v>
      </c>
      <c r="AE45" s="5359">
        <f>O17*AE36</f>
        <v>407.80200000000002</v>
      </c>
      <c r="AF45" s="5359">
        <f>P17*AF36</f>
        <v>10139.1</v>
      </c>
      <c r="AG45" s="5361">
        <f>AF45/AE45-1</f>
        <v>23.862801065222829</v>
      </c>
      <c r="AH45" s="593"/>
      <c r="AI45" s="593"/>
      <c r="AJ45" s="593"/>
      <c r="AK45" s="593"/>
      <c r="AL45" s="2964">
        <f>Q45/360</f>
        <v>117.08166666666668</v>
      </c>
      <c r="AM45" s="2964"/>
      <c r="AN45" s="5327" t="s">
        <v>1500</v>
      </c>
      <c r="AO45" s="594"/>
      <c r="AP45" s="594"/>
      <c r="AQ45" s="594"/>
      <c r="AR45" s="594"/>
      <c r="AS45" s="594"/>
      <c r="AT45" s="594"/>
      <c r="AU45" s="2130"/>
      <c r="AV45" s="2130"/>
      <c r="AW45" s="2130"/>
      <c r="AX45" s="2130"/>
      <c r="AY45" s="2130"/>
      <c r="AZ45" s="2130"/>
      <c r="BA45" s="2130"/>
      <c r="BB45" s="2130"/>
      <c r="BC45" s="2130"/>
      <c r="BD45" s="421"/>
      <c r="BE45" s="421"/>
      <c r="BF45" s="421"/>
      <c r="BG45" s="421"/>
      <c r="BH45" s="421"/>
      <c r="BI45" s="421"/>
      <c r="BJ45" s="421"/>
      <c r="BK45" s="421"/>
      <c r="BL45" s="421"/>
      <c r="BM45" s="421"/>
      <c r="BN45" s="421"/>
      <c r="BO45" s="421"/>
      <c r="BP45" s="421"/>
      <c r="BQ45" s="421"/>
      <c r="BR45" s="421"/>
      <c r="BS45" s="421"/>
      <c r="BT45" s="421"/>
      <c r="BU45" s="421"/>
      <c r="BV45" s="421"/>
      <c r="BW45" s="421"/>
      <c r="BX45" s="421"/>
      <c r="BY45" s="421"/>
      <c r="BZ45" s="421"/>
      <c r="CA45" s="421"/>
      <c r="CB45" s="421"/>
      <c r="CC45" s="421"/>
    </row>
    <row r="46" spans="1:81" ht="15" thickBot="1">
      <c r="A46" s="5328"/>
      <c r="B46" s="2931" t="s">
        <v>478</v>
      </c>
      <c r="C46" s="2930"/>
      <c r="D46" s="2930"/>
      <c r="E46" s="2930"/>
      <c r="F46" s="2930"/>
      <c r="G46" s="2930"/>
      <c r="H46" s="2930"/>
      <c r="I46" s="2930"/>
      <c r="J46" s="2377">
        <f>J45/I45-1</f>
        <v>-0.32398123321218841</v>
      </c>
      <c r="K46" s="2377">
        <f>K45/J45-1</f>
        <v>0.32061912503840051</v>
      </c>
      <c r="L46" s="2377">
        <f>L45/K45-1</f>
        <v>4.0318597381242993E-2</v>
      </c>
      <c r="M46" s="2378">
        <f>M45/L45-1</f>
        <v>6.0589863247418219E-2</v>
      </c>
      <c r="N46" s="2378">
        <f t="shared" ref="N46:T46" si="37">N45/M45-1</f>
        <v>-1.1699774149015463E-2</v>
      </c>
      <c r="O46" s="2378">
        <f t="shared" si="37"/>
        <v>-0.7217712123204606</v>
      </c>
      <c r="P46" s="2378">
        <f t="shared" si="37"/>
        <v>72.784378495617517</v>
      </c>
      <c r="Q46" s="2378">
        <f t="shared" si="37"/>
        <v>0</v>
      </c>
      <c r="R46" s="2377">
        <f t="shared" si="37"/>
        <v>-0.9507116115531894</v>
      </c>
      <c r="S46" s="2377">
        <f t="shared" si="37"/>
        <v>0</v>
      </c>
      <c r="T46" s="4607">
        <f t="shared" si="37"/>
        <v>0</v>
      </c>
      <c r="U46" s="4627" t="s">
        <v>755</v>
      </c>
      <c r="V46" s="2824"/>
      <c r="W46" s="2824"/>
      <c r="X46" s="2824"/>
      <c r="Y46" s="2882"/>
      <c r="Z46" s="2824"/>
      <c r="AA46" s="2824"/>
      <c r="AB46" s="2882"/>
      <c r="AC46" s="2882"/>
      <c r="AD46" s="5360"/>
      <c r="AE46" s="5360"/>
      <c r="AF46" s="5360"/>
      <c r="AG46" s="5362"/>
      <c r="AH46" s="593"/>
      <c r="AI46" s="593"/>
      <c r="AJ46" s="593"/>
      <c r="AK46" s="593"/>
      <c r="AL46" s="2965"/>
      <c r="AM46" s="2965"/>
      <c r="AN46" s="5328"/>
      <c r="AO46" s="594"/>
      <c r="AP46" s="594"/>
      <c r="AQ46" s="594"/>
      <c r="AR46" s="594"/>
      <c r="AS46" s="594"/>
      <c r="AT46" s="594"/>
      <c r="AU46" s="2130"/>
      <c r="AV46" s="2130"/>
      <c r="AW46" s="2130"/>
      <c r="AX46" s="2130"/>
      <c r="AY46" s="2130"/>
      <c r="AZ46" s="2130"/>
      <c r="BA46" s="2130"/>
      <c r="BB46" s="2130"/>
      <c r="BC46" s="2130"/>
      <c r="BD46" s="421"/>
      <c r="BE46" s="421"/>
      <c r="BF46" s="421"/>
      <c r="BG46" s="421"/>
      <c r="BH46" s="421"/>
      <c r="BI46" s="421"/>
      <c r="BJ46" s="421"/>
      <c r="BK46" s="421"/>
      <c r="BL46" s="421"/>
      <c r="BM46" s="421"/>
      <c r="BN46" s="421"/>
      <c r="BO46" s="421"/>
      <c r="BP46" s="421"/>
      <c r="BQ46" s="421"/>
      <c r="BR46" s="421"/>
      <c r="BS46" s="421"/>
      <c r="BT46" s="421"/>
      <c r="BU46" s="421"/>
      <c r="BV46" s="421"/>
      <c r="BW46" s="421"/>
      <c r="BX46" s="421"/>
      <c r="BY46" s="421"/>
      <c r="BZ46" s="421"/>
      <c r="CA46" s="421"/>
      <c r="CB46" s="421"/>
      <c r="CC46" s="421"/>
    </row>
    <row r="47" spans="1:81" ht="15" thickBot="1">
      <c r="A47" s="5329" t="s">
        <v>1501</v>
      </c>
      <c r="B47" s="2985" t="s">
        <v>401</v>
      </c>
      <c r="C47" s="2986"/>
      <c r="D47" s="2986"/>
      <c r="E47" s="2986"/>
      <c r="F47" s="2986"/>
      <c r="G47" s="2986"/>
      <c r="H47" s="2986"/>
      <c r="I47" s="2986"/>
      <c r="J47" s="2987"/>
      <c r="K47" s="2986">
        <f>$K$16*K37</f>
        <v>540342.09398847062</v>
      </c>
      <c r="L47" s="2986">
        <f>$L$16*L37</f>
        <v>562127.92932412948</v>
      </c>
      <c r="M47" s="2988">
        <f>$M$16*M37</f>
        <v>595543.12</v>
      </c>
      <c r="N47" s="2988">
        <f>N16*N37</f>
        <v>588575.4</v>
      </c>
      <c r="O47" s="2988">
        <f>$O$16*O37</f>
        <v>163758.62</v>
      </c>
      <c r="P47" s="2988">
        <f>$P$16*P37</f>
        <v>224796.80000000002</v>
      </c>
      <c r="Q47" s="2988">
        <f>$P$16*Q37</f>
        <v>224796.80000000002</v>
      </c>
      <c r="R47" s="2986">
        <f>$M$16*R37</f>
        <v>595543.12</v>
      </c>
      <c r="S47" s="2986">
        <f>$M$16*S37</f>
        <v>595543.12</v>
      </c>
      <c r="T47" s="4608">
        <f>$M$16*T37</f>
        <v>595543.12</v>
      </c>
      <c r="U47" s="4628" t="s">
        <v>1912</v>
      </c>
      <c r="V47" s="2989"/>
      <c r="W47" s="2989"/>
      <c r="X47" s="2989"/>
      <c r="Y47" s="2990"/>
      <c r="Z47" s="2989"/>
      <c r="AA47" s="2989"/>
      <c r="AB47" s="2990"/>
      <c r="AC47" s="2990"/>
      <c r="AD47" s="5347">
        <f>N17*AD37</f>
        <v>229529.69999999998</v>
      </c>
      <c r="AE47" s="5347">
        <f>O17*AE37</f>
        <v>116903.24</v>
      </c>
      <c r="AF47" s="5347">
        <f>P17*AF37</f>
        <v>54075.200000000004</v>
      </c>
      <c r="AG47" s="5343">
        <f>AF47/AE47-1</f>
        <v>-0.53743625925166827</v>
      </c>
      <c r="AH47" s="593"/>
      <c r="AI47" s="593"/>
      <c r="AJ47" s="593"/>
      <c r="AK47" s="593"/>
      <c r="AL47" s="2991">
        <f>Q47/360</f>
        <v>624.43555555555565</v>
      </c>
      <c r="AM47" s="2991"/>
      <c r="AN47" s="5329" t="s">
        <v>1501</v>
      </c>
      <c r="AO47" s="594"/>
      <c r="AP47" s="594"/>
      <c r="AQ47" s="594"/>
      <c r="AR47" s="594"/>
      <c r="AS47" s="594"/>
      <c r="AT47" s="594"/>
      <c r="AU47" s="2130"/>
      <c r="AV47" s="2130"/>
      <c r="AW47" s="2130"/>
      <c r="AX47" s="2130"/>
      <c r="AY47" s="2130"/>
      <c r="AZ47" s="2130"/>
      <c r="BA47" s="2130"/>
      <c r="BB47" s="2130"/>
      <c r="BC47" s="2130"/>
      <c r="BD47" s="421"/>
      <c r="BE47" s="421"/>
      <c r="BF47" s="421"/>
      <c r="BG47" s="421"/>
      <c r="BH47" s="421"/>
      <c r="BI47" s="421"/>
      <c r="BJ47" s="421"/>
      <c r="BK47" s="421"/>
      <c r="BL47" s="421"/>
      <c r="BM47" s="421"/>
      <c r="BN47" s="421"/>
      <c r="BO47" s="421"/>
      <c r="BP47" s="421"/>
      <c r="BQ47" s="421"/>
      <c r="BR47" s="421"/>
      <c r="BS47" s="421"/>
      <c r="BT47" s="421"/>
      <c r="BU47" s="421"/>
      <c r="BV47" s="421"/>
      <c r="BW47" s="421"/>
      <c r="BX47" s="421"/>
      <c r="BY47" s="421"/>
      <c r="BZ47" s="421"/>
      <c r="CA47" s="421"/>
      <c r="CB47" s="421"/>
      <c r="CC47" s="421"/>
    </row>
    <row r="48" spans="1:81" ht="15" thickBot="1">
      <c r="A48" s="5330"/>
      <c r="B48" s="2992" t="s">
        <v>815</v>
      </c>
      <c r="C48" s="2993"/>
      <c r="D48" s="2993"/>
      <c r="E48" s="2993"/>
      <c r="F48" s="2993"/>
      <c r="G48" s="2993"/>
      <c r="H48" s="2993"/>
      <c r="I48" s="2993"/>
      <c r="J48" s="2994"/>
      <c r="K48" s="2994"/>
      <c r="L48" s="2994">
        <f>L47/K47-1</f>
        <v>4.0318597381242993E-2</v>
      </c>
      <c r="M48" s="2995">
        <f>M47/L47-1</f>
        <v>5.9444103259638892E-2</v>
      </c>
      <c r="N48" s="2995">
        <f t="shared" ref="N48:T48" si="38">N47/M47-1</f>
        <v>-1.1699774149015352E-2</v>
      </c>
      <c r="O48" s="2995">
        <f t="shared" si="38"/>
        <v>-0.7217712123204606</v>
      </c>
      <c r="P48" s="2995">
        <f t="shared" si="38"/>
        <v>0.37273262317427935</v>
      </c>
      <c r="Q48" s="2995">
        <f t="shared" si="38"/>
        <v>0</v>
      </c>
      <c r="R48" s="2994">
        <f t="shared" si="38"/>
        <v>1.6492508790160714</v>
      </c>
      <c r="S48" s="2994">
        <f t="shared" si="38"/>
        <v>0</v>
      </c>
      <c r="T48" s="4609">
        <f t="shared" si="38"/>
        <v>0</v>
      </c>
      <c r="U48" s="4629" t="s">
        <v>755</v>
      </c>
      <c r="V48" s="2996"/>
      <c r="W48" s="2996"/>
      <c r="X48" s="2996"/>
      <c r="Y48" s="2997"/>
      <c r="Z48" s="2996"/>
      <c r="AA48" s="2996"/>
      <c r="AB48" s="2997"/>
      <c r="AC48" s="2997"/>
      <c r="AD48" s="5348"/>
      <c r="AE48" s="5348"/>
      <c r="AF48" s="5348"/>
      <c r="AG48" s="5344"/>
      <c r="AH48" s="593"/>
      <c r="AI48" s="593"/>
      <c r="AJ48" s="593"/>
      <c r="AK48" s="593"/>
      <c r="AL48" s="2998"/>
      <c r="AM48" s="2998"/>
      <c r="AN48" s="5330"/>
      <c r="AO48" s="594"/>
      <c r="AP48" s="594"/>
      <c r="AQ48" s="594"/>
      <c r="AR48" s="594"/>
      <c r="AS48" s="594"/>
      <c r="AT48" s="594"/>
      <c r="AU48" s="2130"/>
      <c r="AV48" s="2130"/>
      <c r="AW48" s="2130"/>
      <c r="AX48" s="2130"/>
      <c r="AY48" s="2130"/>
      <c r="AZ48" s="2130"/>
      <c r="BA48" s="2130"/>
      <c r="BB48" s="2130"/>
      <c r="BC48" s="2130"/>
      <c r="BD48" s="421"/>
      <c r="BE48" s="421"/>
      <c r="BF48" s="421"/>
      <c r="BG48" s="421"/>
      <c r="BH48" s="421"/>
      <c r="BI48" s="421"/>
      <c r="BJ48" s="421"/>
      <c r="BK48" s="421"/>
      <c r="BL48" s="421"/>
      <c r="BM48" s="421"/>
      <c r="BN48" s="421"/>
      <c r="BO48" s="421"/>
      <c r="BP48" s="421"/>
      <c r="BQ48" s="421"/>
      <c r="BR48" s="421"/>
      <c r="BS48" s="421"/>
      <c r="BT48" s="421"/>
      <c r="BU48" s="421"/>
      <c r="BV48" s="421"/>
      <c r="BW48" s="421"/>
      <c r="BX48" s="421"/>
      <c r="BY48" s="421"/>
      <c r="BZ48" s="421"/>
      <c r="CA48" s="421"/>
      <c r="CB48" s="421"/>
      <c r="CC48" s="421"/>
    </row>
    <row r="49" spans="1:81" ht="15" thickBot="1">
      <c r="A49" s="5331" t="s">
        <v>1502</v>
      </c>
      <c r="B49" s="2967" t="s">
        <v>1399</v>
      </c>
      <c r="C49" s="2968"/>
      <c r="D49" s="2968"/>
      <c r="E49" s="2968"/>
      <c r="F49" s="2968"/>
      <c r="G49" s="2968"/>
      <c r="H49" s="2968"/>
      <c r="I49" s="2968"/>
      <c r="J49" s="2969"/>
      <c r="K49" s="2966">
        <f>$K$16*K38</f>
        <v>50210.080000000002</v>
      </c>
      <c r="L49" s="2966">
        <f>$L$16*L38</f>
        <v>52234.48</v>
      </c>
      <c r="M49" s="2970">
        <f>$M$16*M38</f>
        <v>55399.360000000001</v>
      </c>
      <c r="N49" s="2970">
        <f>$N$16*N38</f>
        <v>54751.200000000004</v>
      </c>
      <c r="O49" s="2970">
        <f>$O$16*O38</f>
        <v>15233.36</v>
      </c>
      <c r="P49" s="2970">
        <f>$P$16*P38</f>
        <v>56199.200000000004</v>
      </c>
      <c r="Q49" s="2970">
        <f>$P$16*Q38</f>
        <v>56199.200000000004</v>
      </c>
      <c r="R49" s="2968">
        <f>$M$16*R42</f>
        <v>0</v>
      </c>
      <c r="S49" s="2968">
        <f>$M$16*S42</f>
        <v>0</v>
      </c>
      <c r="T49" s="4610">
        <f>$M$16*T42</f>
        <v>0</v>
      </c>
      <c r="U49" s="4630" t="s">
        <v>1912</v>
      </c>
      <c r="V49" s="2939"/>
      <c r="W49" s="2939"/>
      <c r="X49" s="2939"/>
      <c r="Y49" s="2941"/>
      <c r="Z49" s="2939"/>
      <c r="AA49" s="2939"/>
      <c r="AB49" s="2941"/>
      <c r="AC49" s="2941"/>
      <c r="AD49" s="5349">
        <f>N17*AD38</f>
        <v>21351.600000000002</v>
      </c>
      <c r="AE49" s="5349">
        <f>O17*AE38</f>
        <v>10874.72</v>
      </c>
      <c r="AF49" s="5349">
        <f>P17*AF38</f>
        <v>13518.800000000001</v>
      </c>
      <c r="AG49" s="5345">
        <f>AF49/AE49-1</f>
        <v>0.24314005326114163</v>
      </c>
      <c r="AH49" s="593"/>
      <c r="AI49" s="593"/>
      <c r="AJ49" s="593"/>
      <c r="AK49" s="593"/>
      <c r="AL49" s="2971">
        <f>Q49/360</f>
        <v>156.10888888888891</v>
      </c>
      <c r="AM49" s="2971"/>
      <c r="AN49" s="5331" t="s">
        <v>1502</v>
      </c>
      <c r="AO49" s="594"/>
      <c r="AP49" s="594"/>
      <c r="AQ49" s="594"/>
      <c r="AR49" s="594"/>
      <c r="AS49" s="594"/>
      <c r="AT49" s="594"/>
      <c r="AU49" s="2130"/>
      <c r="AV49" s="2130"/>
      <c r="AW49" s="2130"/>
      <c r="AX49" s="2130"/>
      <c r="AY49" s="2130"/>
      <c r="AZ49" s="2130"/>
      <c r="BA49" s="2130"/>
      <c r="BB49" s="2130"/>
      <c r="BC49" s="2130"/>
      <c r="BD49" s="421"/>
      <c r="BE49" s="421"/>
      <c r="BF49" s="421"/>
      <c r="BG49" s="421"/>
      <c r="BH49" s="421"/>
      <c r="BI49" s="421"/>
      <c r="BJ49" s="421"/>
      <c r="BK49" s="421"/>
      <c r="BL49" s="421"/>
      <c r="BM49" s="421"/>
      <c r="BN49" s="421"/>
      <c r="BO49" s="421"/>
      <c r="BP49" s="421"/>
      <c r="BQ49" s="421"/>
      <c r="BR49" s="421"/>
      <c r="BS49" s="421"/>
      <c r="BT49" s="421"/>
      <c r="BU49" s="421"/>
      <c r="BV49" s="421"/>
      <c r="BW49" s="421"/>
      <c r="BX49" s="421"/>
      <c r="BY49" s="421"/>
      <c r="BZ49" s="421"/>
      <c r="CA49" s="421"/>
      <c r="CB49" s="421"/>
      <c r="CC49" s="421"/>
    </row>
    <row r="50" spans="1:81" ht="15" thickBot="1">
      <c r="A50" s="5332"/>
      <c r="B50" s="2932" t="s">
        <v>815</v>
      </c>
      <c r="C50" s="2933"/>
      <c r="D50" s="2933"/>
      <c r="E50" s="2933"/>
      <c r="F50" s="2933"/>
      <c r="G50" s="2933"/>
      <c r="H50" s="2933"/>
      <c r="I50" s="2933"/>
      <c r="J50" s="707"/>
      <c r="K50" s="707"/>
      <c r="L50" s="707">
        <f t="shared" ref="L50:T50" si="39">L49/K49-1</f>
        <v>4.0318597381242993E-2</v>
      </c>
      <c r="M50" s="2174">
        <f t="shared" si="39"/>
        <v>6.0589863247418219E-2</v>
      </c>
      <c r="N50" s="2174">
        <f t="shared" si="39"/>
        <v>-1.1699774149015352E-2</v>
      </c>
      <c r="O50" s="2174">
        <f t="shared" si="39"/>
        <v>-0.72177121232046049</v>
      </c>
      <c r="P50" s="2174">
        <f t="shared" si="39"/>
        <v>2.6892189247808758</v>
      </c>
      <c r="Q50" s="2174">
        <f t="shared" si="39"/>
        <v>0</v>
      </c>
      <c r="R50" s="2171">
        <f t="shared" si="39"/>
        <v>-1</v>
      </c>
      <c r="S50" s="2171" t="e">
        <f t="shared" si="39"/>
        <v>#DIV/0!</v>
      </c>
      <c r="T50" s="4611" t="e">
        <f t="shared" si="39"/>
        <v>#DIV/0!</v>
      </c>
      <c r="U50" s="4631" t="s">
        <v>755</v>
      </c>
      <c r="V50" s="2824"/>
      <c r="W50" s="2824"/>
      <c r="X50" s="2824"/>
      <c r="Y50" s="2882"/>
      <c r="Z50" s="2824"/>
      <c r="AA50" s="2824"/>
      <c r="AB50" s="2882"/>
      <c r="AC50" s="2882"/>
      <c r="AD50" s="5350"/>
      <c r="AE50" s="5350"/>
      <c r="AF50" s="5350"/>
      <c r="AG50" s="5346"/>
      <c r="AH50" s="593"/>
      <c r="AI50" s="593"/>
      <c r="AJ50" s="593"/>
      <c r="AK50" s="593"/>
      <c r="AL50" s="2934"/>
      <c r="AM50" s="2934"/>
      <c r="AN50" s="5332"/>
      <c r="AO50" s="594"/>
      <c r="AP50" s="594"/>
      <c r="AQ50" s="594"/>
      <c r="AR50" s="594"/>
      <c r="AS50" s="594"/>
      <c r="AT50" s="594"/>
      <c r="AU50" s="2130"/>
      <c r="AV50" s="2130"/>
      <c r="AW50" s="2130"/>
      <c r="AX50" s="2130"/>
      <c r="AY50" s="2130"/>
      <c r="AZ50" s="2130"/>
      <c r="BA50" s="2130"/>
      <c r="BB50" s="2130"/>
      <c r="BC50" s="2130"/>
      <c r="BD50" s="421"/>
      <c r="BE50" s="421"/>
      <c r="BF50" s="421"/>
      <c r="BG50" s="421"/>
      <c r="BH50" s="421"/>
      <c r="BI50" s="421"/>
      <c r="BJ50" s="421"/>
      <c r="BK50" s="421"/>
      <c r="BL50" s="421"/>
      <c r="BM50" s="421"/>
      <c r="BN50" s="421"/>
      <c r="BO50" s="421"/>
      <c r="BP50" s="421"/>
      <c r="BQ50" s="421"/>
      <c r="BR50" s="421"/>
      <c r="BS50" s="421"/>
      <c r="BT50" s="421"/>
      <c r="BU50" s="421"/>
      <c r="BV50" s="421"/>
      <c r="BW50" s="421"/>
      <c r="BX50" s="421"/>
      <c r="BY50" s="421"/>
      <c r="BZ50" s="421"/>
      <c r="CA50" s="421"/>
      <c r="CB50" s="421"/>
      <c r="CC50" s="421"/>
    </row>
    <row r="51" spans="1:81" ht="15" thickBot="1">
      <c r="A51" s="5333" t="s">
        <v>1519</v>
      </c>
      <c r="B51" s="2999" t="s">
        <v>629</v>
      </c>
      <c r="C51" s="3000"/>
      <c r="D51" s="3000"/>
      <c r="E51" s="3000"/>
      <c r="F51" s="3000"/>
      <c r="G51" s="3000"/>
      <c r="H51" s="3000"/>
      <c r="I51" s="3000"/>
      <c r="J51" s="3001"/>
      <c r="K51" s="3000">
        <f>$K$16*K39</f>
        <v>57846.139762720879</v>
      </c>
      <c r="L51" s="3000">
        <f>$K$16*L39</f>
        <v>57846.139762720879</v>
      </c>
      <c r="M51" s="3000">
        <f>$M$16*M39</f>
        <v>63824.616916071202</v>
      </c>
      <c r="N51" s="3000">
        <f>$N$16*N39</f>
        <v>63077.883313005739</v>
      </c>
      <c r="O51" s="3000">
        <f>N51-(N51*-O20)</f>
        <v>17550.083003569045</v>
      </c>
      <c r="P51" s="3000">
        <f>$P$16*P39</f>
        <v>19669.72</v>
      </c>
      <c r="Q51" s="3000">
        <f>$P$16*Q39</f>
        <v>19669.72</v>
      </c>
      <c r="R51" s="3000">
        <f>$M$16*R44</f>
        <v>1288859.8428885245</v>
      </c>
      <c r="S51" s="3000">
        <f>$M$16*S44</f>
        <v>0</v>
      </c>
      <c r="T51" s="4612">
        <f>$M$16*T44</f>
        <v>0</v>
      </c>
      <c r="U51" s="4632" t="s">
        <v>1912</v>
      </c>
      <c r="V51" s="3002"/>
      <c r="W51" s="3002"/>
      <c r="X51" s="3002"/>
      <c r="Y51" s="3003"/>
      <c r="Z51" s="3002"/>
      <c r="AA51" s="3002"/>
      <c r="AB51" s="3003"/>
      <c r="AC51" s="3003"/>
      <c r="AD51" s="5339">
        <f>N16*AD39</f>
        <v>63077.883313005739</v>
      </c>
      <c r="AE51" s="5339">
        <f>O16*AE39</f>
        <v>13329.19</v>
      </c>
      <c r="AF51" s="5339">
        <f>P17*AF39</f>
        <v>4731.5800000000008</v>
      </c>
      <c r="AG51" s="5341">
        <f>AF51/AE51-1</f>
        <v>-0.64502119033489658</v>
      </c>
      <c r="AH51" s="593"/>
      <c r="AI51" s="593"/>
      <c r="AJ51" s="593"/>
      <c r="AK51" s="593"/>
      <c r="AL51" s="3004">
        <f>Q51/360</f>
        <v>54.638111111111115</v>
      </c>
      <c r="AM51" s="3004"/>
      <c r="AN51" s="5333" t="s">
        <v>1519</v>
      </c>
      <c r="AO51" s="594"/>
      <c r="AP51" s="594"/>
      <c r="AQ51" s="594"/>
      <c r="AR51" s="594"/>
      <c r="AS51" s="594"/>
      <c r="AT51" s="594"/>
      <c r="AU51" s="2130"/>
      <c r="AV51" s="2130"/>
      <c r="AW51" s="2130"/>
      <c r="AX51" s="2130"/>
      <c r="AY51" s="2130"/>
      <c r="AZ51" s="2130"/>
      <c r="BA51" s="2130"/>
      <c r="BB51" s="2130"/>
      <c r="BC51" s="2130"/>
      <c r="BD51" s="421"/>
      <c r="BE51" s="421"/>
      <c r="BF51" s="421"/>
      <c r="BG51" s="421"/>
      <c r="BH51" s="421"/>
      <c r="BI51" s="421"/>
      <c r="BJ51" s="421"/>
      <c r="BK51" s="421"/>
      <c r="BL51" s="421"/>
      <c r="BM51" s="421"/>
      <c r="BN51" s="421"/>
      <c r="BO51" s="421"/>
      <c r="BP51" s="421"/>
      <c r="BQ51" s="421"/>
      <c r="BR51" s="421"/>
      <c r="BS51" s="421"/>
      <c r="BT51" s="421"/>
      <c r="BU51" s="421"/>
      <c r="BV51" s="421"/>
      <c r="BW51" s="421"/>
      <c r="BX51" s="421"/>
      <c r="BY51" s="421"/>
      <c r="BZ51" s="421"/>
      <c r="CA51" s="421"/>
      <c r="CB51" s="421"/>
      <c r="CC51" s="421"/>
    </row>
    <row r="52" spans="1:81" ht="15" thickBot="1">
      <c r="A52" s="5334"/>
      <c r="B52" s="3005" t="s">
        <v>815</v>
      </c>
      <c r="C52" s="3006"/>
      <c r="D52" s="3006"/>
      <c r="E52" s="3006"/>
      <c r="F52" s="3006"/>
      <c r="G52" s="3006"/>
      <c r="H52" s="3006"/>
      <c r="I52" s="3006"/>
      <c r="J52" s="3007"/>
      <c r="K52" s="3007"/>
      <c r="L52" s="3007">
        <f t="shared" ref="L52:T52" si="40">L51/K51-1</f>
        <v>0</v>
      </c>
      <c r="M52" s="3008">
        <f t="shared" si="40"/>
        <v>0.10335135893031833</v>
      </c>
      <c r="N52" s="3008">
        <f t="shared" si="40"/>
        <v>-1.1699774149015463E-2</v>
      </c>
      <c r="O52" s="3008">
        <f t="shared" si="40"/>
        <v>-0.72177121232046049</v>
      </c>
      <c r="P52" s="3008">
        <f t="shared" si="40"/>
        <v>0.12077646561557009</v>
      </c>
      <c r="Q52" s="3008">
        <f t="shared" si="40"/>
        <v>0</v>
      </c>
      <c r="R52" s="3007">
        <f t="shared" si="40"/>
        <v>64.52507320330561</v>
      </c>
      <c r="S52" s="3007">
        <f t="shared" si="40"/>
        <v>-1</v>
      </c>
      <c r="T52" s="4613" t="e">
        <f t="shared" si="40"/>
        <v>#DIV/0!</v>
      </c>
      <c r="U52" s="4633" t="s">
        <v>755</v>
      </c>
      <c r="V52" s="3009"/>
      <c r="W52" s="3009"/>
      <c r="X52" s="3009"/>
      <c r="Y52" s="3010"/>
      <c r="Z52" s="3009"/>
      <c r="AA52" s="3009"/>
      <c r="AB52" s="3010"/>
      <c r="AC52" s="3010"/>
      <c r="AD52" s="5340"/>
      <c r="AE52" s="5340"/>
      <c r="AF52" s="5340"/>
      <c r="AG52" s="5342"/>
      <c r="AH52" s="593"/>
      <c r="AI52" s="593"/>
      <c r="AJ52" s="593"/>
      <c r="AK52" s="593"/>
      <c r="AL52" s="3011"/>
      <c r="AM52" s="3011"/>
      <c r="AN52" s="5334"/>
      <c r="AO52" s="594"/>
      <c r="AP52" s="594"/>
      <c r="AQ52" s="594"/>
      <c r="AR52" s="594"/>
      <c r="AS52" s="594"/>
      <c r="AT52" s="594"/>
      <c r="AU52" s="2130"/>
      <c r="AV52" s="2130"/>
      <c r="AW52" s="2130"/>
      <c r="AX52" s="2130"/>
      <c r="AY52" s="2130"/>
      <c r="AZ52" s="2130"/>
      <c r="BA52" s="2130"/>
      <c r="BB52" s="2130"/>
      <c r="BC52" s="2130"/>
      <c r="BD52" s="421"/>
      <c r="BE52" s="421"/>
      <c r="BF52" s="421"/>
      <c r="BG52" s="421"/>
      <c r="BH52" s="421"/>
      <c r="BI52" s="421"/>
      <c r="BJ52" s="421"/>
      <c r="BK52" s="421"/>
      <c r="BL52" s="421"/>
      <c r="BM52" s="421"/>
      <c r="BN52" s="421"/>
      <c r="BO52" s="421"/>
      <c r="BP52" s="421"/>
      <c r="BQ52" s="421"/>
      <c r="BR52" s="421"/>
      <c r="BS52" s="421"/>
      <c r="BT52" s="421"/>
      <c r="BU52" s="421"/>
      <c r="BV52" s="421"/>
      <c r="BW52" s="421"/>
      <c r="BX52" s="421"/>
      <c r="BY52" s="421"/>
      <c r="BZ52" s="421"/>
      <c r="CA52" s="421"/>
      <c r="CB52" s="421"/>
      <c r="CC52" s="421"/>
    </row>
    <row r="53" spans="1:81" ht="15" hidden="1" thickBot="1">
      <c r="A53" s="5323" t="s">
        <v>1575</v>
      </c>
      <c r="B53" s="3690" t="s">
        <v>629</v>
      </c>
      <c r="C53" s="3691"/>
      <c r="D53" s="3691"/>
      <c r="E53" s="3691"/>
      <c r="F53" s="3691"/>
      <c r="G53" s="3691"/>
      <c r="H53" s="3691"/>
      <c r="I53" s="3691"/>
      <c r="J53" s="3692"/>
      <c r="K53" s="3691">
        <f>$K$16*K41</f>
        <v>265616477139.1868</v>
      </c>
      <c r="L53" s="3691">
        <f>$K$16*L41</f>
        <v>276325760938.78583</v>
      </c>
      <c r="M53" s="3691">
        <f>M16*M40</f>
        <v>27699.68</v>
      </c>
      <c r="N53" s="3691">
        <f>N16*N40</f>
        <v>27375.600000000002</v>
      </c>
      <c r="O53" s="3691">
        <f>O16*O40</f>
        <v>7616.68</v>
      </c>
      <c r="P53" s="3691">
        <f>P16*P40</f>
        <v>11239.84</v>
      </c>
      <c r="Q53" s="3691">
        <f>Q16*Q40</f>
        <v>19135.64</v>
      </c>
      <c r="R53" s="3691">
        <f>$M$16*R46</f>
        <v>-658360.18530769122</v>
      </c>
      <c r="S53" s="3691">
        <f>$M$16*S46</f>
        <v>0</v>
      </c>
      <c r="T53" s="4614">
        <f>$M$16*T46</f>
        <v>0</v>
      </c>
      <c r="U53" s="4634" t="s">
        <v>1912</v>
      </c>
      <c r="V53" s="3693"/>
      <c r="W53" s="3693"/>
      <c r="X53" s="3693"/>
      <c r="Y53" s="3694"/>
      <c r="Z53" s="3693"/>
      <c r="AA53" s="3693"/>
      <c r="AB53" s="3694"/>
      <c r="AC53" s="3694"/>
      <c r="AD53" s="5335">
        <f>N17*AD40</f>
        <v>10675.800000000001</v>
      </c>
      <c r="AE53" s="5335">
        <f>O17*AE40</f>
        <v>5437.36</v>
      </c>
      <c r="AF53" s="5335">
        <f>P17*AF40</f>
        <v>2703.76</v>
      </c>
      <c r="AG53" s="5337">
        <f>AF53/AE53-1</f>
        <v>-0.50274397869554344</v>
      </c>
      <c r="AH53" s="593"/>
      <c r="AI53" s="593"/>
      <c r="AJ53" s="593"/>
      <c r="AK53" s="593"/>
      <c r="AL53" s="3695">
        <f>Q53/360</f>
        <v>53.154555555555554</v>
      </c>
      <c r="AM53" s="3695"/>
      <c r="AN53" s="5323" t="s">
        <v>1575</v>
      </c>
      <c r="AO53" s="594"/>
      <c r="AP53" s="594"/>
      <c r="AQ53" s="594"/>
      <c r="AR53" s="594"/>
      <c r="AS53" s="594"/>
      <c r="AT53" s="594"/>
      <c r="AU53" s="2130"/>
      <c r="AV53" s="2130"/>
      <c r="AW53" s="2130"/>
      <c r="AX53" s="2130"/>
      <c r="AY53" s="2130"/>
      <c r="AZ53" s="2130"/>
      <c r="BA53" s="2130"/>
      <c r="BB53" s="2130"/>
      <c r="BC53" s="2130"/>
      <c r="BD53" s="421"/>
      <c r="BE53" s="421"/>
      <c r="BF53" s="421"/>
      <c r="BG53" s="421"/>
      <c r="BH53" s="421"/>
      <c r="BI53" s="421"/>
      <c r="BJ53" s="421"/>
      <c r="BK53" s="421"/>
      <c r="BL53" s="421"/>
      <c r="BM53" s="421"/>
      <c r="BN53" s="421"/>
      <c r="BO53" s="421"/>
      <c r="BP53" s="421"/>
      <c r="BQ53" s="421"/>
      <c r="BR53" s="421"/>
      <c r="BS53" s="421"/>
      <c r="BT53" s="421"/>
      <c r="BU53" s="421"/>
      <c r="BV53" s="421"/>
      <c r="BW53" s="421"/>
      <c r="BX53" s="421"/>
      <c r="BY53" s="421"/>
      <c r="BZ53" s="421"/>
      <c r="CA53" s="421"/>
      <c r="CB53" s="421"/>
      <c r="CC53" s="421"/>
    </row>
    <row r="54" spans="1:81" ht="15" hidden="1" thickBot="1">
      <c r="A54" s="5324"/>
      <c r="B54" s="3696" t="s">
        <v>815</v>
      </c>
      <c r="C54" s="3697"/>
      <c r="D54" s="3697"/>
      <c r="E54" s="3697"/>
      <c r="F54" s="3697"/>
      <c r="G54" s="3697"/>
      <c r="H54" s="3697"/>
      <c r="I54" s="3697"/>
      <c r="J54" s="3698"/>
      <c r="K54" s="3698"/>
      <c r="L54" s="3698">
        <f t="shared" ref="L54:T54" si="41">L53/K53-1</f>
        <v>4.0318597381242993E-2</v>
      </c>
      <c r="M54" s="3699">
        <f t="shared" si="41"/>
        <v>-0.99999989975715653</v>
      </c>
      <c r="N54" s="3699">
        <f t="shared" si="41"/>
        <v>-1.1699774149015352E-2</v>
      </c>
      <c r="O54" s="3699">
        <f t="shared" si="41"/>
        <v>-0.72177121232046049</v>
      </c>
      <c r="P54" s="3699">
        <f t="shared" si="41"/>
        <v>0.47568756991235017</v>
      </c>
      <c r="Q54" s="3699">
        <f t="shared" si="41"/>
        <v>0.70248330937095194</v>
      </c>
      <c r="R54" s="3698">
        <f t="shared" si="41"/>
        <v>-35.4049211475389</v>
      </c>
      <c r="S54" s="3698">
        <f t="shared" si="41"/>
        <v>-1</v>
      </c>
      <c r="T54" s="4615" t="e">
        <f t="shared" si="41"/>
        <v>#DIV/0!</v>
      </c>
      <c r="U54" s="4635" t="s">
        <v>755</v>
      </c>
      <c r="V54" s="3700"/>
      <c r="W54" s="3700"/>
      <c r="X54" s="3700"/>
      <c r="Y54" s="3701"/>
      <c r="Z54" s="3700"/>
      <c r="AA54" s="3700"/>
      <c r="AB54" s="3701"/>
      <c r="AC54" s="3701"/>
      <c r="AD54" s="5336"/>
      <c r="AE54" s="5336"/>
      <c r="AF54" s="5336"/>
      <c r="AG54" s="5338"/>
      <c r="AH54" s="593"/>
      <c r="AI54" s="593"/>
      <c r="AJ54" s="593"/>
      <c r="AK54" s="593"/>
      <c r="AL54" s="3702"/>
      <c r="AM54" s="3702"/>
      <c r="AN54" s="5324"/>
      <c r="AO54" s="594"/>
      <c r="AP54" s="594"/>
      <c r="AQ54" s="594"/>
      <c r="AR54" s="594"/>
      <c r="AS54" s="594"/>
      <c r="AT54" s="594"/>
      <c r="AU54" s="2130"/>
      <c r="AV54" s="2130"/>
      <c r="AW54" s="2130"/>
      <c r="AX54" s="2130"/>
      <c r="AY54" s="2130"/>
      <c r="AZ54" s="2130"/>
      <c r="BA54" s="2130"/>
      <c r="BB54" s="2130"/>
      <c r="BC54" s="2130"/>
      <c r="BD54" s="421"/>
      <c r="BE54" s="421"/>
      <c r="BF54" s="421"/>
      <c r="BG54" s="421"/>
      <c r="BH54" s="421"/>
      <c r="BI54" s="421"/>
      <c r="BJ54" s="421"/>
      <c r="BK54" s="421"/>
      <c r="BL54" s="421"/>
      <c r="BM54" s="421"/>
      <c r="BN54" s="421"/>
      <c r="BO54" s="421"/>
      <c r="BP54" s="421"/>
      <c r="BQ54" s="421"/>
      <c r="BR54" s="421"/>
      <c r="BS54" s="421"/>
      <c r="BT54" s="421"/>
      <c r="BU54" s="421"/>
      <c r="BV54" s="421"/>
      <c r="BW54" s="421"/>
      <c r="BX54" s="421"/>
      <c r="BY54" s="421"/>
      <c r="BZ54" s="421"/>
      <c r="CA54" s="421"/>
      <c r="CB54" s="421"/>
      <c r="CC54" s="421"/>
    </row>
    <row r="55" spans="1:81">
      <c r="AH55" s="593"/>
      <c r="AI55" s="593"/>
      <c r="AJ55" s="593"/>
      <c r="AK55" s="593"/>
    </row>
    <row r="56" spans="1:81">
      <c r="AH56" s="593"/>
      <c r="AI56" s="593"/>
      <c r="AJ56" s="593"/>
      <c r="AK56" s="593"/>
    </row>
    <row r="57" spans="1:81">
      <c r="AI57" s="4500"/>
    </row>
    <row r="58" spans="1:81">
      <c r="A58" s="55" t="s">
        <v>1896</v>
      </c>
      <c r="U58" s="43"/>
      <c r="V58" s="594"/>
      <c r="W58" s="594"/>
      <c r="X58" s="594"/>
      <c r="Y58" s="594"/>
      <c r="Z58" s="594"/>
      <c r="AA58" s="594"/>
      <c r="AB58" s="594"/>
      <c r="AC58" s="594"/>
      <c r="AD58" s="594"/>
      <c r="AE58" s="594"/>
      <c r="AF58" s="594"/>
      <c r="AG58" s="594"/>
      <c r="AH58" s="594"/>
      <c r="AI58" s="594"/>
      <c r="AJ58" s="594"/>
      <c r="AK58" s="594"/>
      <c r="AL58" s="594"/>
      <c r="AM58" s="594"/>
      <c r="AN58" s="1025"/>
      <c r="AO58" s="594"/>
      <c r="AP58" s="594"/>
      <c r="AQ58" s="594"/>
      <c r="AR58" s="594"/>
      <c r="AS58" s="594"/>
      <c r="AT58" s="594"/>
      <c r="AU58" s="2130"/>
      <c r="AV58" s="2130"/>
      <c r="AW58" s="2130"/>
      <c r="AX58" s="2130"/>
      <c r="AY58" s="2130"/>
      <c r="AZ58" s="2130"/>
      <c r="BA58" s="2130"/>
      <c r="BB58" s="2130"/>
      <c r="BC58" s="2130"/>
      <c r="BD58" s="421"/>
      <c r="BE58" s="421"/>
      <c r="BF58" s="421"/>
      <c r="BG58" s="421"/>
      <c r="BH58" s="421"/>
      <c r="BI58" s="421"/>
      <c r="BJ58" s="421"/>
      <c r="BK58" s="421"/>
      <c r="BL58" s="421"/>
      <c r="BM58" s="421"/>
      <c r="BN58" s="421"/>
      <c r="BO58" s="421"/>
      <c r="BP58" s="421"/>
      <c r="BQ58" s="421"/>
      <c r="BR58" s="421"/>
      <c r="BS58" s="421"/>
      <c r="BT58" s="421"/>
      <c r="BU58" s="421"/>
      <c r="BV58" s="421"/>
      <c r="BW58" s="421"/>
      <c r="BX58" s="421"/>
      <c r="BY58" s="421"/>
      <c r="BZ58" s="421"/>
      <c r="CA58" s="421"/>
      <c r="CB58" s="421"/>
      <c r="CC58" s="421"/>
    </row>
    <row r="59" spans="1:81">
      <c r="U59" s="43"/>
      <c r="V59" s="594"/>
      <c r="W59" s="594"/>
      <c r="X59" s="594"/>
      <c r="Y59" s="594"/>
      <c r="Z59" s="594"/>
      <c r="AA59" s="594"/>
      <c r="AB59" s="594"/>
      <c r="AC59" s="594"/>
      <c r="AD59" s="594"/>
      <c r="AE59" s="594"/>
      <c r="AF59" s="1025"/>
      <c r="AG59" s="594"/>
      <c r="AH59" s="594"/>
      <c r="AI59" s="594"/>
      <c r="AJ59" s="594"/>
      <c r="AK59" s="594"/>
      <c r="AL59" s="594"/>
      <c r="AM59" s="594"/>
      <c r="AN59" s="594"/>
      <c r="AO59" s="594"/>
      <c r="AP59" s="594"/>
      <c r="AQ59" s="594"/>
      <c r="AR59" s="2130"/>
      <c r="AS59" s="2130"/>
      <c r="AT59" s="2130"/>
      <c r="AU59" s="2130"/>
      <c r="AV59" s="2130"/>
      <c r="AW59" s="2130"/>
      <c r="AX59" s="421"/>
      <c r="AY59" s="421"/>
      <c r="AZ59" s="421"/>
      <c r="BA59" s="421"/>
      <c r="BB59" s="421"/>
      <c r="BC59" s="421"/>
      <c r="BD59" s="421"/>
      <c r="BE59" s="421"/>
      <c r="BF59" s="421"/>
      <c r="BG59" s="421"/>
      <c r="BH59" s="421"/>
      <c r="BI59" s="421"/>
      <c r="BJ59" s="421"/>
      <c r="BK59" s="421"/>
      <c r="BL59" s="421"/>
      <c r="BM59" s="421"/>
      <c r="BN59" s="421"/>
      <c r="BO59" s="421"/>
      <c r="BP59" s="421"/>
      <c r="BQ59" s="421"/>
      <c r="BR59" s="421"/>
      <c r="BS59" s="421"/>
      <c r="BT59" s="421"/>
      <c r="BU59" s="421"/>
      <c r="BV59" s="421"/>
      <c r="BW59" s="421"/>
      <c r="BX59" s="421"/>
      <c r="BY59" s="421"/>
      <c r="BZ59" s="421"/>
    </row>
    <row r="60" spans="1:81">
      <c r="U60" s="43"/>
      <c r="V60" s="594"/>
      <c r="W60" s="594"/>
      <c r="X60" s="594"/>
      <c r="Y60" s="594"/>
      <c r="Z60" s="594"/>
      <c r="AA60" s="594"/>
      <c r="AB60" s="594"/>
      <c r="AC60" s="594"/>
      <c r="AD60" s="594"/>
      <c r="AE60" s="594"/>
      <c r="AF60" s="1025"/>
      <c r="AG60" s="594"/>
      <c r="AH60" s="594"/>
      <c r="AI60" s="594"/>
      <c r="AJ60" s="594"/>
      <c r="AK60" s="594"/>
      <c r="AL60" s="594"/>
      <c r="AM60" s="594"/>
      <c r="AN60" s="594"/>
      <c r="AO60" s="594"/>
      <c r="AP60" s="594"/>
      <c r="AQ60" s="594"/>
      <c r="AR60" s="2130"/>
      <c r="AS60" s="2130"/>
      <c r="AT60" s="2130"/>
      <c r="AU60" s="2130"/>
      <c r="AV60" s="2130"/>
      <c r="AW60" s="2130"/>
      <c r="AX60" s="421"/>
      <c r="AY60" s="421"/>
      <c r="AZ60" s="421"/>
      <c r="BA60" s="421"/>
      <c r="BB60" s="421"/>
      <c r="BC60" s="421"/>
      <c r="BD60" s="421"/>
      <c r="BE60" s="421"/>
      <c r="BF60" s="421"/>
      <c r="BG60" s="421"/>
      <c r="BH60" s="421"/>
      <c r="BI60" s="421"/>
      <c r="BJ60" s="421"/>
      <c r="BK60" s="421"/>
      <c r="BL60" s="421"/>
      <c r="BM60" s="421"/>
      <c r="BN60" s="421"/>
      <c r="BO60" s="421"/>
      <c r="BP60" s="421"/>
      <c r="BQ60" s="421"/>
      <c r="BR60" s="421"/>
      <c r="BS60" s="421"/>
      <c r="BT60" s="421"/>
      <c r="BU60" s="421"/>
      <c r="BV60" s="421"/>
      <c r="BW60" s="421"/>
      <c r="BX60" s="421"/>
      <c r="BY60" s="421"/>
      <c r="BZ60" s="421"/>
    </row>
    <row r="61" spans="1:81">
      <c r="U61" s="43"/>
      <c r="V61" s="594"/>
      <c r="W61" s="594"/>
      <c r="X61" s="594"/>
      <c r="Y61" s="594"/>
      <c r="Z61" s="594"/>
      <c r="AA61" s="594"/>
      <c r="AB61" s="594"/>
      <c r="AC61" s="594"/>
      <c r="AD61" s="594"/>
      <c r="AE61" s="594"/>
      <c r="AF61" s="1025"/>
      <c r="AG61" s="594"/>
      <c r="AH61" s="594"/>
      <c r="AI61" s="594"/>
      <c r="AJ61" s="594"/>
      <c r="AK61" s="594"/>
      <c r="AL61" s="594"/>
      <c r="AM61" s="594"/>
      <c r="AN61" s="594"/>
      <c r="AO61" s="594"/>
      <c r="AP61" s="594"/>
      <c r="AQ61" s="594"/>
      <c r="AR61" s="2130"/>
      <c r="AS61" s="2130"/>
      <c r="AT61" s="2130"/>
      <c r="AU61" s="2130"/>
      <c r="AV61" s="2130"/>
      <c r="AW61" s="2130"/>
      <c r="AX61" s="421"/>
      <c r="AY61" s="421"/>
      <c r="AZ61" s="421"/>
      <c r="BA61" s="421"/>
      <c r="BB61" s="421"/>
      <c r="BC61" s="421"/>
      <c r="BD61" s="421"/>
      <c r="BE61" s="421"/>
      <c r="BF61" s="421"/>
      <c r="BG61" s="421"/>
      <c r="BH61" s="421"/>
      <c r="BI61" s="421"/>
      <c r="BJ61" s="421"/>
      <c r="BK61" s="421"/>
      <c r="BL61" s="421"/>
      <c r="BM61" s="421"/>
      <c r="BN61" s="421"/>
      <c r="BO61" s="421"/>
      <c r="BP61" s="421"/>
      <c r="BQ61" s="421"/>
      <c r="BR61" s="421"/>
      <c r="BS61" s="421"/>
      <c r="BT61" s="421"/>
      <c r="BU61" s="421"/>
      <c r="BV61" s="421"/>
      <c r="BW61" s="421"/>
      <c r="BX61" s="421"/>
      <c r="BY61" s="421"/>
      <c r="BZ61" s="421"/>
    </row>
    <row r="62" spans="1:81">
      <c r="U62" s="43"/>
      <c r="V62" s="594"/>
      <c r="W62" s="594"/>
      <c r="X62" s="594"/>
      <c r="Y62" s="594"/>
      <c r="Z62" s="594"/>
      <c r="AA62" s="594"/>
      <c r="AB62" s="594"/>
      <c r="AC62" s="594"/>
      <c r="AD62" s="594"/>
      <c r="AE62" s="594"/>
      <c r="AF62" s="1025"/>
      <c r="AG62" s="594"/>
      <c r="AH62" s="594"/>
      <c r="AI62" s="594"/>
      <c r="AJ62" s="594"/>
      <c r="AK62" s="594"/>
      <c r="AL62" s="594"/>
      <c r="AM62" s="594"/>
      <c r="AN62" s="594"/>
      <c r="AO62" s="594"/>
      <c r="AP62" s="594"/>
      <c r="AQ62" s="594"/>
      <c r="AR62" s="2130"/>
      <c r="AS62" s="2130"/>
      <c r="AT62" s="2130"/>
      <c r="AU62" s="2130"/>
      <c r="AV62" s="2130"/>
      <c r="AW62" s="2130"/>
      <c r="AX62" s="421"/>
      <c r="AY62" s="421"/>
      <c r="AZ62" s="421"/>
      <c r="BA62" s="421"/>
      <c r="BB62" s="421"/>
      <c r="BC62" s="421"/>
      <c r="BD62" s="421"/>
      <c r="BE62" s="421"/>
      <c r="BF62" s="421"/>
      <c r="BG62" s="421"/>
      <c r="BH62" s="421"/>
      <c r="BI62" s="421"/>
      <c r="BJ62" s="421"/>
      <c r="BK62" s="421"/>
      <c r="BL62" s="421"/>
      <c r="BM62" s="421"/>
      <c r="BN62" s="421"/>
      <c r="BO62" s="421"/>
      <c r="BP62" s="421"/>
      <c r="BQ62" s="421"/>
      <c r="BR62" s="421"/>
      <c r="BS62" s="421"/>
      <c r="BT62" s="421"/>
      <c r="BU62" s="421"/>
      <c r="BV62" s="421"/>
      <c r="BW62" s="421"/>
      <c r="BX62" s="421"/>
      <c r="BY62" s="421"/>
      <c r="BZ62" s="421"/>
    </row>
    <row r="63" spans="1:81">
      <c r="U63" s="43"/>
      <c r="V63" s="594"/>
      <c r="W63" s="594"/>
      <c r="X63" s="594"/>
      <c r="Y63" s="594"/>
      <c r="Z63" s="594"/>
      <c r="AA63" s="594"/>
      <c r="AB63" s="594"/>
      <c r="AC63" s="594"/>
      <c r="AD63" s="594"/>
      <c r="AE63" s="594"/>
      <c r="AF63" s="1025"/>
      <c r="AG63" s="594"/>
      <c r="AH63" s="594"/>
      <c r="AI63" s="594"/>
      <c r="AJ63" s="594"/>
      <c r="AK63" s="594"/>
      <c r="AL63" s="594"/>
      <c r="AM63" s="594"/>
      <c r="AN63" s="594"/>
      <c r="AO63" s="594"/>
      <c r="AP63" s="594"/>
      <c r="AQ63" s="594"/>
      <c r="AR63" s="2130"/>
      <c r="AS63" s="2130"/>
      <c r="AT63" s="2130"/>
      <c r="AU63" s="2130"/>
      <c r="AV63" s="2130"/>
      <c r="AW63" s="2130"/>
      <c r="AX63" s="421"/>
      <c r="AY63" s="421"/>
      <c r="AZ63" s="421"/>
      <c r="BA63" s="421"/>
      <c r="BB63" s="421"/>
      <c r="BC63" s="421"/>
      <c r="BD63" s="421"/>
      <c r="BE63" s="421"/>
      <c r="BF63" s="421"/>
      <c r="BG63" s="421"/>
      <c r="BH63" s="421"/>
      <c r="BI63" s="421"/>
      <c r="BJ63" s="421"/>
      <c r="BK63" s="421"/>
      <c r="BL63" s="421"/>
      <c r="BM63" s="421"/>
      <c r="BN63" s="421"/>
      <c r="BO63" s="421"/>
      <c r="BP63" s="421"/>
      <c r="BQ63" s="421"/>
      <c r="BR63" s="421"/>
      <c r="BS63" s="421"/>
      <c r="BT63" s="421"/>
      <c r="BU63" s="421"/>
      <c r="BV63" s="421"/>
      <c r="BW63" s="421"/>
      <c r="BX63" s="421"/>
      <c r="BY63" s="421"/>
      <c r="BZ63" s="421"/>
    </row>
    <row r="64" spans="1:81">
      <c r="U64" s="43"/>
      <c r="V64" s="594"/>
      <c r="W64" s="594"/>
      <c r="X64" s="594"/>
      <c r="Y64" s="594"/>
      <c r="Z64" s="594"/>
      <c r="AA64" s="594"/>
      <c r="AB64" s="594"/>
      <c r="AC64" s="594"/>
      <c r="AD64" s="594"/>
      <c r="AE64" s="594"/>
      <c r="AF64" s="1025"/>
      <c r="AG64" s="594"/>
      <c r="AH64" s="594"/>
      <c r="AI64" s="594"/>
      <c r="AJ64" s="594"/>
      <c r="AK64" s="594"/>
      <c r="AL64" s="594"/>
      <c r="AM64" s="594"/>
      <c r="AN64" s="594"/>
      <c r="AO64" s="594"/>
      <c r="AP64" s="594"/>
      <c r="AQ64" s="594"/>
      <c r="AR64" s="2130"/>
      <c r="AS64" s="2130"/>
      <c r="AT64" s="2130"/>
      <c r="AU64" s="2130"/>
      <c r="AV64" s="2130"/>
      <c r="AW64" s="2130"/>
      <c r="AX64" s="421"/>
      <c r="AY64" s="421"/>
      <c r="AZ64" s="421"/>
      <c r="BA64" s="421"/>
      <c r="BB64" s="421"/>
      <c r="BC64" s="421"/>
      <c r="BD64" s="421"/>
      <c r="BE64" s="421"/>
      <c r="BF64" s="421"/>
      <c r="BG64" s="421"/>
      <c r="BH64" s="421"/>
      <c r="BI64" s="421"/>
      <c r="BJ64" s="421"/>
      <c r="BK64" s="421"/>
      <c r="BL64" s="421"/>
      <c r="BM64" s="421"/>
      <c r="BN64" s="421"/>
      <c r="BO64" s="421"/>
      <c r="BP64" s="421"/>
      <c r="BQ64" s="421"/>
      <c r="BR64" s="421"/>
      <c r="BS64" s="421"/>
      <c r="BT64" s="421"/>
      <c r="BU64" s="421"/>
      <c r="BV64" s="421"/>
      <c r="BW64" s="421"/>
      <c r="BX64" s="421"/>
      <c r="BY64" s="421"/>
      <c r="BZ64" s="421"/>
    </row>
    <row r="65" spans="21:78">
      <c r="U65" s="43"/>
      <c r="V65" s="594"/>
      <c r="W65" s="594"/>
      <c r="X65" s="594"/>
      <c r="Y65" s="594"/>
      <c r="Z65" s="594"/>
      <c r="AA65" s="594"/>
      <c r="AB65" s="594"/>
      <c r="AC65" s="594"/>
      <c r="AD65" s="594"/>
      <c r="AE65" s="594"/>
      <c r="AF65" s="1025"/>
      <c r="AG65" s="594"/>
      <c r="AH65" s="594"/>
      <c r="AI65" s="594"/>
      <c r="AJ65" s="594"/>
      <c r="AK65" s="594"/>
      <c r="AL65" s="594"/>
      <c r="AM65" s="594"/>
      <c r="AN65" s="594"/>
      <c r="AO65" s="594"/>
      <c r="AP65" s="594"/>
      <c r="AQ65" s="594"/>
      <c r="AR65" s="2130"/>
      <c r="AS65" s="2130"/>
      <c r="AT65" s="2130"/>
      <c r="AU65" s="2130"/>
      <c r="AV65" s="2130"/>
      <c r="AW65" s="2130"/>
      <c r="AX65" s="421"/>
      <c r="AY65" s="421"/>
      <c r="AZ65" s="421"/>
      <c r="BA65" s="421"/>
      <c r="BB65" s="421"/>
      <c r="BC65" s="421"/>
      <c r="BD65" s="421"/>
      <c r="BE65" s="421"/>
      <c r="BF65" s="421"/>
      <c r="BG65" s="421"/>
      <c r="BH65" s="421"/>
      <c r="BI65" s="421"/>
      <c r="BJ65" s="421"/>
      <c r="BK65" s="421"/>
      <c r="BL65" s="421"/>
      <c r="BM65" s="421"/>
      <c r="BN65" s="421"/>
      <c r="BO65" s="421"/>
      <c r="BP65" s="421"/>
      <c r="BQ65" s="421"/>
      <c r="BR65" s="421"/>
      <c r="BS65" s="421"/>
      <c r="BT65" s="421"/>
      <c r="BU65" s="421"/>
      <c r="BV65" s="421"/>
      <c r="BW65" s="421"/>
      <c r="BX65" s="421"/>
      <c r="BY65" s="421"/>
      <c r="BZ65" s="421"/>
    </row>
    <row r="66" spans="21:78">
      <c r="U66" s="43"/>
      <c r="V66" s="594"/>
      <c r="W66" s="594"/>
      <c r="X66" s="594"/>
      <c r="Y66" s="594"/>
      <c r="Z66" s="594"/>
      <c r="AA66" s="594"/>
      <c r="AB66" s="594"/>
      <c r="AC66" s="594"/>
      <c r="AD66" s="594"/>
      <c r="AE66" s="594"/>
      <c r="AF66" s="1025"/>
      <c r="AG66" s="594"/>
      <c r="AH66" s="594"/>
      <c r="AI66" s="594"/>
      <c r="AJ66" s="594"/>
      <c r="AK66" s="594"/>
      <c r="AL66" s="594"/>
      <c r="AM66" s="594"/>
      <c r="AN66" s="594"/>
      <c r="AO66" s="594"/>
      <c r="AP66" s="594"/>
      <c r="AQ66" s="594"/>
      <c r="AR66" s="2130"/>
      <c r="AS66" s="2130"/>
      <c r="AT66" s="2130"/>
      <c r="AU66" s="2130"/>
      <c r="AV66" s="2130"/>
      <c r="AW66" s="2130"/>
      <c r="AX66" s="421"/>
      <c r="AY66" s="421"/>
      <c r="AZ66" s="421"/>
      <c r="BA66" s="421"/>
      <c r="BB66" s="421"/>
      <c r="BC66" s="421"/>
      <c r="BD66" s="421"/>
      <c r="BE66" s="421"/>
      <c r="BF66" s="421"/>
      <c r="BG66" s="421"/>
      <c r="BH66" s="421"/>
      <c r="BI66" s="421"/>
      <c r="BJ66" s="421"/>
      <c r="BK66" s="421"/>
      <c r="BL66" s="421"/>
      <c r="BM66" s="421"/>
      <c r="BN66" s="421"/>
      <c r="BO66" s="421"/>
      <c r="BP66" s="421"/>
      <c r="BQ66" s="421"/>
      <c r="BR66" s="421"/>
      <c r="BS66" s="421"/>
      <c r="BT66" s="421"/>
      <c r="BU66" s="421"/>
      <c r="BV66" s="421"/>
      <c r="BW66" s="421"/>
      <c r="BX66" s="421"/>
      <c r="BY66" s="421"/>
      <c r="BZ66" s="421"/>
    </row>
    <row r="67" spans="21:78">
      <c r="U67" s="43"/>
      <c r="V67" s="594"/>
      <c r="W67" s="594"/>
      <c r="X67" s="594"/>
      <c r="Y67" s="594"/>
      <c r="Z67" s="594"/>
      <c r="AA67" s="594"/>
      <c r="AB67" s="594"/>
      <c r="AC67" s="594"/>
      <c r="AD67" s="594"/>
      <c r="AE67" s="594"/>
      <c r="AF67" s="1025"/>
      <c r="AG67" s="594"/>
      <c r="AH67" s="594"/>
      <c r="AI67" s="594"/>
      <c r="AJ67" s="594"/>
      <c r="AK67" s="594"/>
      <c r="AL67" s="594"/>
      <c r="AM67" s="594"/>
      <c r="AN67" s="594"/>
      <c r="AO67" s="594"/>
      <c r="AP67" s="594"/>
      <c r="AQ67" s="594"/>
      <c r="AR67" s="2130"/>
      <c r="AS67" s="2130"/>
      <c r="AT67" s="2130"/>
      <c r="AU67" s="2130"/>
      <c r="AV67" s="2130"/>
      <c r="AW67" s="2130"/>
      <c r="AX67" s="421"/>
      <c r="AY67" s="421"/>
      <c r="AZ67" s="421"/>
      <c r="BA67" s="421"/>
      <c r="BB67" s="421"/>
      <c r="BC67" s="421"/>
      <c r="BD67" s="421"/>
      <c r="BE67" s="421"/>
      <c r="BF67" s="421"/>
      <c r="BG67" s="421"/>
      <c r="BH67" s="421"/>
      <c r="BI67" s="421"/>
      <c r="BJ67" s="421"/>
      <c r="BK67" s="421"/>
      <c r="BL67" s="421"/>
      <c r="BM67" s="421"/>
      <c r="BN67" s="421"/>
      <c r="BO67" s="421"/>
      <c r="BP67" s="421"/>
      <c r="BQ67" s="421"/>
      <c r="BR67" s="421"/>
      <c r="BS67" s="421"/>
      <c r="BT67" s="421"/>
      <c r="BU67" s="421"/>
      <c r="BV67" s="421"/>
      <c r="BW67" s="421"/>
      <c r="BX67" s="421"/>
      <c r="BY67" s="421"/>
      <c r="BZ67" s="421"/>
    </row>
    <row r="68" spans="21:78">
      <c r="U68" s="43"/>
      <c r="V68" s="594"/>
      <c r="W68" s="594"/>
      <c r="X68" s="594"/>
      <c r="Y68" s="594"/>
      <c r="Z68" s="594"/>
      <c r="AA68" s="594"/>
      <c r="AB68" s="594"/>
      <c r="AC68" s="594"/>
      <c r="AD68" s="594"/>
      <c r="AE68" s="594"/>
      <c r="AF68" s="1025"/>
      <c r="AG68" s="594"/>
      <c r="AH68" s="594"/>
      <c r="AI68" s="594"/>
      <c r="AJ68" s="594"/>
      <c r="AK68" s="594"/>
      <c r="AL68" s="594"/>
      <c r="AM68" s="594"/>
      <c r="AN68" s="594"/>
      <c r="AO68" s="594"/>
      <c r="AP68" s="594"/>
      <c r="AQ68" s="594"/>
      <c r="AR68" s="2130"/>
      <c r="AS68" s="2130"/>
      <c r="AT68" s="2130"/>
      <c r="AU68" s="2130"/>
      <c r="AV68" s="2130"/>
      <c r="AW68" s="2130"/>
      <c r="AX68" s="421"/>
      <c r="AY68" s="421"/>
      <c r="AZ68" s="421"/>
      <c r="BA68" s="421"/>
      <c r="BB68" s="421"/>
      <c r="BC68" s="421"/>
      <c r="BD68" s="421"/>
      <c r="BE68" s="421"/>
      <c r="BF68" s="421"/>
      <c r="BG68" s="421"/>
      <c r="BH68" s="421"/>
      <c r="BI68" s="421"/>
      <c r="BJ68" s="421"/>
      <c r="BK68" s="421"/>
      <c r="BL68" s="421"/>
      <c r="BM68" s="421"/>
      <c r="BN68" s="421"/>
      <c r="BO68" s="421"/>
      <c r="BP68" s="421"/>
      <c r="BQ68" s="421"/>
      <c r="BR68" s="421"/>
      <c r="BS68" s="421"/>
      <c r="BT68" s="421"/>
      <c r="BU68" s="421"/>
      <c r="BV68" s="421"/>
      <c r="BW68" s="421"/>
      <c r="BX68" s="421"/>
      <c r="BY68" s="421"/>
      <c r="BZ68" s="421"/>
    </row>
    <row r="69" spans="21:78">
      <c r="U69" s="43"/>
      <c r="V69" s="594"/>
      <c r="W69" s="594"/>
      <c r="X69" s="594"/>
      <c r="Y69" s="594"/>
      <c r="Z69" s="594"/>
      <c r="AA69" s="594"/>
      <c r="AB69" s="594"/>
      <c r="AC69" s="594"/>
      <c r="AD69" s="594"/>
      <c r="AE69" s="594"/>
      <c r="AF69" s="1025"/>
      <c r="AG69" s="594"/>
      <c r="AH69" s="594"/>
      <c r="AI69" s="594"/>
      <c r="AJ69" s="594"/>
      <c r="AK69" s="594"/>
      <c r="AL69" s="594"/>
      <c r="AM69" s="594"/>
      <c r="AN69" s="594"/>
      <c r="AO69" s="594"/>
      <c r="AP69" s="594"/>
      <c r="AQ69" s="594"/>
      <c r="AR69" s="2130"/>
      <c r="AS69" s="2130"/>
      <c r="AT69" s="2130"/>
      <c r="AU69" s="2130"/>
      <c r="AV69" s="2130"/>
      <c r="AW69" s="2130"/>
      <c r="AX69" s="421"/>
      <c r="AY69" s="421"/>
      <c r="AZ69" s="421"/>
      <c r="BA69" s="421"/>
      <c r="BB69" s="421"/>
      <c r="BC69" s="421"/>
      <c r="BD69" s="421"/>
      <c r="BE69" s="421"/>
      <c r="BF69" s="421"/>
      <c r="BG69" s="421"/>
      <c r="BH69" s="421"/>
      <c r="BI69" s="421"/>
      <c r="BJ69" s="421"/>
      <c r="BK69" s="421"/>
      <c r="BL69" s="421"/>
      <c r="BM69" s="421"/>
      <c r="BN69" s="421"/>
      <c r="BO69" s="421"/>
      <c r="BP69" s="421"/>
      <c r="BQ69" s="421"/>
      <c r="BR69" s="421"/>
      <c r="BS69" s="421"/>
      <c r="BT69" s="421"/>
      <c r="BU69" s="421"/>
      <c r="BV69" s="421"/>
      <c r="BW69" s="421"/>
      <c r="BX69" s="421"/>
      <c r="BY69" s="421"/>
      <c r="BZ69" s="421"/>
    </row>
    <row r="70" spans="21:78">
      <c r="U70" s="43"/>
      <c r="V70" s="594"/>
      <c r="W70" s="594"/>
      <c r="X70" s="594"/>
      <c r="Y70" s="594"/>
      <c r="Z70" s="594"/>
      <c r="AA70" s="594"/>
      <c r="AB70" s="594"/>
      <c r="AC70" s="594"/>
      <c r="AD70" s="594"/>
      <c r="AE70" s="594"/>
      <c r="AF70" s="1025"/>
      <c r="AG70" s="594"/>
      <c r="AH70" s="594"/>
      <c r="AI70" s="594"/>
      <c r="AJ70" s="594"/>
      <c r="AK70" s="594"/>
      <c r="AL70" s="594"/>
      <c r="AM70" s="594"/>
      <c r="AN70" s="594"/>
      <c r="AO70" s="594"/>
      <c r="AP70" s="594"/>
      <c r="AQ70" s="594"/>
      <c r="AR70" s="2130"/>
      <c r="AS70" s="2130"/>
      <c r="AT70" s="2130"/>
      <c r="AU70" s="2130"/>
      <c r="AV70" s="2130"/>
      <c r="AW70" s="2130"/>
      <c r="AX70" s="421"/>
      <c r="AY70" s="421"/>
      <c r="AZ70" s="421"/>
      <c r="BA70" s="421"/>
      <c r="BB70" s="421"/>
      <c r="BC70" s="421"/>
      <c r="BD70" s="421"/>
      <c r="BE70" s="421"/>
      <c r="BF70" s="421"/>
      <c r="BG70" s="421"/>
      <c r="BH70" s="421"/>
      <c r="BI70" s="421"/>
      <c r="BJ70" s="421"/>
      <c r="BK70" s="421"/>
      <c r="BL70" s="421"/>
      <c r="BM70" s="421"/>
      <c r="BN70" s="421"/>
      <c r="BO70" s="421"/>
      <c r="BP70" s="421"/>
      <c r="BQ70" s="421"/>
      <c r="BR70" s="421"/>
      <c r="BS70" s="421"/>
      <c r="BT70" s="421"/>
      <c r="BU70" s="421"/>
      <c r="BV70" s="421"/>
      <c r="BW70" s="421"/>
      <c r="BX70" s="421"/>
      <c r="BY70" s="421"/>
      <c r="BZ70" s="421"/>
    </row>
    <row r="71" spans="21:78">
      <c r="U71" s="43"/>
      <c r="V71" s="594"/>
      <c r="W71" s="594"/>
      <c r="X71" s="594"/>
      <c r="Y71" s="594"/>
      <c r="Z71" s="594"/>
      <c r="AA71" s="594"/>
      <c r="AB71" s="594"/>
      <c r="AC71" s="594"/>
      <c r="AD71" s="594"/>
      <c r="AE71" s="594"/>
      <c r="AF71" s="1025"/>
      <c r="AG71" s="594"/>
      <c r="AH71" s="594"/>
      <c r="AI71" s="594"/>
      <c r="AJ71" s="594"/>
      <c r="AK71" s="594"/>
      <c r="AL71" s="594"/>
      <c r="AM71" s="594"/>
      <c r="AN71" s="594"/>
      <c r="AO71" s="594"/>
      <c r="AP71" s="594"/>
      <c r="AQ71" s="594"/>
      <c r="AR71" s="2130"/>
      <c r="AS71" s="2130"/>
      <c r="AT71" s="2130"/>
      <c r="AU71" s="2130"/>
      <c r="AV71" s="2130"/>
      <c r="AW71" s="2130"/>
      <c r="AX71" s="421"/>
      <c r="AY71" s="421"/>
      <c r="AZ71" s="421"/>
      <c r="BA71" s="421"/>
      <c r="BB71" s="421"/>
      <c r="BC71" s="421"/>
      <c r="BD71" s="421"/>
      <c r="BE71" s="421"/>
      <c r="BF71" s="421"/>
      <c r="BG71" s="421"/>
      <c r="BH71" s="421"/>
      <c r="BI71" s="421"/>
      <c r="BJ71" s="421"/>
      <c r="BK71" s="421"/>
      <c r="BL71" s="421"/>
      <c r="BM71" s="421"/>
      <c r="BN71" s="421"/>
      <c r="BO71" s="421"/>
      <c r="BP71" s="421"/>
      <c r="BQ71" s="421"/>
      <c r="BR71" s="421"/>
      <c r="BS71" s="421"/>
      <c r="BT71" s="421"/>
      <c r="BU71" s="421"/>
      <c r="BV71" s="421"/>
      <c r="BW71" s="421"/>
      <c r="BX71" s="421"/>
      <c r="BY71" s="421"/>
      <c r="BZ71" s="421"/>
    </row>
    <row r="72" spans="21:78">
      <c r="U72" s="43"/>
      <c r="V72" s="594"/>
      <c r="W72" s="594"/>
      <c r="X72" s="594"/>
      <c r="Y72" s="594"/>
      <c r="Z72" s="594"/>
      <c r="AA72" s="594"/>
      <c r="AB72" s="594"/>
      <c r="AC72" s="594"/>
      <c r="AD72" s="594"/>
      <c r="AE72" s="594"/>
      <c r="AF72" s="1025"/>
      <c r="AG72" s="594"/>
      <c r="AH72" s="594"/>
      <c r="AI72" s="594"/>
      <c r="AJ72" s="594"/>
      <c r="AK72" s="594"/>
      <c r="AL72" s="594"/>
      <c r="AM72" s="594"/>
      <c r="AN72" s="594"/>
      <c r="AO72" s="594"/>
      <c r="AP72" s="594"/>
      <c r="AQ72" s="594"/>
      <c r="AR72" s="2130"/>
      <c r="AS72" s="2130"/>
      <c r="AT72" s="2130"/>
      <c r="AU72" s="2130"/>
      <c r="AV72" s="2130"/>
      <c r="AW72" s="2130"/>
      <c r="AX72" s="421"/>
      <c r="AY72" s="421"/>
      <c r="AZ72" s="421"/>
      <c r="BA72" s="421"/>
      <c r="BB72" s="421"/>
      <c r="BC72" s="421"/>
      <c r="BD72" s="421"/>
      <c r="BE72" s="421"/>
      <c r="BF72" s="421"/>
      <c r="BG72" s="421"/>
      <c r="BH72" s="421"/>
      <c r="BI72" s="421"/>
      <c r="BJ72" s="421"/>
      <c r="BK72" s="421"/>
      <c r="BL72" s="421"/>
      <c r="BM72" s="421"/>
      <c r="BN72" s="421"/>
      <c r="BO72" s="421"/>
      <c r="BP72" s="421"/>
      <c r="BQ72" s="421"/>
      <c r="BR72" s="421"/>
      <c r="BS72" s="421"/>
      <c r="BT72" s="421"/>
      <c r="BU72" s="421"/>
      <c r="BV72" s="421"/>
      <c r="BW72" s="421"/>
      <c r="BX72" s="421"/>
      <c r="BY72" s="421"/>
      <c r="BZ72" s="421"/>
    </row>
    <row r="73" spans="21:78">
      <c r="U73" s="43"/>
      <c r="V73" s="594"/>
      <c r="W73" s="594"/>
      <c r="X73" s="594"/>
      <c r="Y73" s="594"/>
      <c r="Z73" s="594"/>
      <c r="AA73" s="594"/>
      <c r="AB73" s="594"/>
      <c r="AC73" s="594"/>
      <c r="AD73" s="594"/>
      <c r="AE73" s="594"/>
      <c r="AF73" s="1025"/>
      <c r="AG73" s="594"/>
      <c r="AH73" s="594"/>
      <c r="AI73" s="594"/>
      <c r="AJ73" s="594"/>
      <c r="AK73" s="594"/>
      <c r="AL73" s="594"/>
      <c r="AM73" s="594"/>
      <c r="AN73" s="594"/>
      <c r="AO73" s="594"/>
      <c r="AP73" s="594"/>
      <c r="AQ73" s="594"/>
      <c r="AR73" s="2130"/>
      <c r="AS73" s="2130"/>
      <c r="AT73" s="2130"/>
      <c r="AU73" s="2130"/>
      <c r="AV73" s="2130"/>
      <c r="AW73" s="2130"/>
      <c r="AX73" s="421"/>
      <c r="AY73" s="421"/>
      <c r="AZ73" s="421"/>
      <c r="BA73" s="421"/>
      <c r="BB73" s="421"/>
      <c r="BC73" s="421"/>
      <c r="BD73" s="421"/>
      <c r="BE73" s="421"/>
      <c r="BF73" s="421"/>
      <c r="BG73" s="421"/>
      <c r="BH73" s="421"/>
      <c r="BI73" s="421"/>
      <c r="BJ73" s="421"/>
      <c r="BK73" s="421"/>
      <c r="BL73" s="421"/>
      <c r="BM73" s="421"/>
      <c r="BN73" s="421"/>
      <c r="BO73" s="421"/>
      <c r="BP73" s="421"/>
      <c r="BQ73" s="421"/>
      <c r="BR73" s="421"/>
      <c r="BS73" s="421"/>
      <c r="BT73" s="421"/>
      <c r="BU73" s="421"/>
      <c r="BV73" s="421"/>
      <c r="BW73" s="421"/>
      <c r="BX73" s="421"/>
      <c r="BY73" s="421"/>
      <c r="BZ73" s="421"/>
    </row>
    <row r="74" spans="21:78">
      <c r="U74" s="43"/>
      <c r="V74" s="594"/>
      <c r="W74" s="594"/>
      <c r="X74" s="594"/>
      <c r="Y74" s="594"/>
      <c r="Z74" s="594"/>
      <c r="AA74" s="594"/>
      <c r="AB74" s="594"/>
      <c r="AC74" s="594"/>
      <c r="AD74" s="594"/>
      <c r="AE74" s="594"/>
      <c r="AF74" s="1025"/>
      <c r="AG74" s="594"/>
      <c r="AH74" s="594"/>
      <c r="AI74" s="594"/>
      <c r="AJ74" s="594"/>
      <c r="AK74" s="594"/>
      <c r="AL74" s="594"/>
      <c r="AM74" s="594"/>
      <c r="AN74" s="594"/>
      <c r="AO74" s="594"/>
      <c r="AP74" s="594"/>
      <c r="AQ74" s="594"/>
      <c r="AR74" s="2130"/>
      <c r="AS74" s="2130"/>
      <c r="AT74" s="2130"/>
      <c r="AU74" s="2130"/>
      <c r="AV74" s="2130"/>
      <c r="AW74" s="2130"/>
      <c r="AX74" s="421"/>
      <c r="AY74" s="421"/>
      <c r="AZ74" s="421"/>
      <c r="BA74" s="421"/>
      <c r="BB74" s="421"/>
      <c r="BC74" s="421"/>
      <c r="BD74" s="421"/>
      <c r="BE74" s="421"/>
      <c r="BF74" s="421"/>
      <c r="BG74" s="421"/>
      <c r="BH74" s="421"/>
      <c r="BI74" s="421"/>
      <c r="BJ74" s="421"/>
      <c r="BK74" s="421"/>
      <c r="BL74" s="421"/>
      <c r="BM74" s="421"/>
      <c r="BN74" s="421"/>
      <c r="BO74" s="421"/>
      <c r="BP74" s="421"/>
      <c r="BQ74" s="421"/>
      <c r="BR74" s="421"/>
      <c r="BS74" s="421"/>
      <c r="BT74" s="421"/>
      <c r="BU74" s="421"/>
      <c r="BV74" s="421"/>
      <c r="BW74" s="421"/>
      <c r="BX74" s="421"/>
      <c r="BY74" s="421"/>
      <c r="BZ74" s="421"/>
    </row>
    <row r="75" spans="21:78">
      <c r="AI75" s="4500"/>
    </row>
    <row r="76" spans="21:78">
      <c r="AI76" s="4500"/>
    </row>
    <row r="77" spans="21:78">
      <c r="AI77" s="4500"/>
    </row>
    <row r="78" spans="21:78">
      <c r="AI78" s="4500"/>
    </row>
    <row r="79" spans="21:78">
      <c r="AI79" s="4500"/>
    </row>
    <row r="80" spans="21:78">
      <c r="AI80" s="4500"/>
    </row>
    <row r="81" spans="35:35">
      <c r="AI81" s="4500"/>
    </row>
    <row r="82" spans="35:35">
      <c r="AI82" s="4500"/>
    </row>
    <row r="83" spans="35:35">
      <c r="AI83" s="4500"/>
    </row>
    <row r="84" spans="35:35">
      <c r="AI84" s="4500"/>
    </row>
    <row r="85" spans="35:35">
      <c r="AI85" s="4500"/>
    </row>
    <row r="86" spans="35:35">
      <c r="AI86" s="4500"/>
    </row>
    <row r="87" spans="35:35">
      <c r="AI87" s="4500"/>
    </row>
    <row r="88" spans="35:35">
      <c r="AI88" s="4500"/>
    </row>
    <row r="89" spans="35:35">
      <c r="AI89" s="4500"/>
    </row>
    <row r="90" spans="35:35">
      <c r="AI90" s="4500"/>
    </row>
    <row r="91" spans="35:35">
      <c r="AI91" s="4500"/>
    </row>
  </sheetData>
  <mergeCells count="49">
    <mergeCell ref="A1:L1"/>
    <mergeCell ref="W3:X3"/>
    <mergeCell ref="AA3:AB3"/>
    <mergeCell ref="AE3:AF3"/>
    <mergeCell ref="AN41:AN42"/>
    <mergeCell ref="AJ3:AK3"/>
    <mergeCell ref="M18:O18"/>
    <mergeCell ref="A41:A42"/>
    <mergeCell ref="M22:M23"/>
    <mergeCell ref="AN43:AN44"/>
    <mergeCell ref="AN45:AN46"/>
    <mergeCell ref="AN47:AN48"/>
    <mergeCell ref="AN49:AN50"/>
    <mergeCell ref="AD41:AD42"/>
    <mergeCell ref="AE41:AE42"/>
    <mergeCell ref="AF41:AF42"/>
    <mergeCell ref="AG41:AG42"/>
    <mergeCell ref="AD43:AD44"/>
    <mergeCell ref="AE43:AE44"/>
    <mergeCell ref="AF43:AF44"/>
    <mergeCell ref="AG43:AG44"/>
    <mergeCell ref="AD45:AD46"/>
    <mergeCell ref="AE45:AE46"/>
    <mergeCell ref="AF45:AF46"/>
    <mergeCell ref="AG45:AG46"/>
    <mergeCell ref="AG47:AG48"/>
    <mergeCell ref="AG49:AG50"/>
    <mergeCell ref="AD47:AD48"/>
    <mergeCell ref="AE47:AE48"/>
    <mergeCell ref="AF47:AF48"/>
    <mergeCell ref="AD49:AD50"/>
    <mergeCell ref="AE49:AE50"/>
    <mergeCell ref="AF49:AF50"/>
    <mergeCell ref="AD51:AD52"/>
    <mergeCell ref="AE51:AE52"/>
    <mergeCell ref="AF51:AF52"/>
    <mergeCell ref="AG51:AG52"/>
    <mergeCell ref="AN51:AN52"/>
    <mergeCell ref="AD53:AD54"/>
    <mergeCell ref="AE53:AE54"/>
    <mergeCell ref="AF53:AF54"/>
    <mergeCell ref="AG53:AG54"/>
    <mergeCell ref="AN53:AN54"/>
    <mergeCell ref="A53:A54"/>
    <mergeCell ref="A43:A44"/>
    <mergeCell ref="A45:A46"/>
    <mergeCell ref="A47:A48"/>
    <mergeCell ref="A49:A50"/>
    <mergeCell ref="A51:A52"/>
  </mergeCells>
  <phoneticPr fontId="11" type="noConversion"/>
  <conditionalFormatting sqref="B25:B26">
    <cfRule type="top10" dxfId="80" priority="68" rank="10"/>
  </conditionalFormatting>
  <conditionalFormatting sqref="C25:C26">
    <cfRule type="top10" dxfId="79" priority="67" rank="10"/>
  </conditionalFormatting>
  <conditionalFormatting sqref="D25:D26">
    <cfRule type="top10" dxfId="78"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 ref="AG12" r:id="rId23" xr:uid="{19ED0848-0561-45CB-9297-53A83A738578}"/>
    <hyperlink ref="AG14" r:id="rId24" xr:uid="{E379ED3D-530C-4574-AA1A-A8BDDCE1E859}"/>
    <hyperlink ref="AG13" r:id="rId25" xr:uid="{D192B53D-8E3C-450C-9549-45A482673A12}"/>
    <hyperlink ref="AG15" r:id="rId26" xr:uid="{A54092D4-0F05-4B13-8E48-735CB255E417}"/>
    <hyperlink ref="AL4" r:id="rId27" xr:uid="{A5597A33-168E-42F0-A3E5-1EE83AE5B978}"/>
    <hyperlink ref="AL5" r:id="rId28" xr:uid="{7C349B24-D4EC-4578-9C61-9B2344C52C98}"/>
    <hyperlink ref="AL8" r:id="rId29" xr:uid="{FF44D62B-5AF2-4FD8-B004-03BFA41096A5}"/>
  </hyperlinks>
  <pageMargins left="0.31496062992125984" right="0.15748031496062992" top="0.74803149606299213" bottom="0.74803149606299213" header="0.31496062992125984" footer="0.31496062992125984"/>
  <pageSetup scale="17" orientation="landscape" verticalDpi="597" r:id="rId30"/>
  <drawing r:id="rId31"/>
  <legacyDrawing r:id="rId3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4810-D686-429A-A706-060B47CAA146}">
  <sheetPr>
    <tabColor theme="6" tint="-0.499984740745262"/>
    <pageSetUpPr fitToPage="1"/>
  </sheetPr>
  <dimension ref="B1:S33"/>
  <sheetViews>
    <sheetView showGridLines="0" zoomScale="85" zoomScaleNormal="85" workbookViewId="0">
      <selection activeCell="M16" sqref="M16"/>
    </sheetView>
  </sheetViews>
  <sheetFormatPr baseColWidth="10" defaultColWidth="11.44140625" defaultRowHeight="14.4"/>
  <cols>
    <col min="1" max="1" width="5.5546875" customWidth="1"/>
    <col min="2" max="2" width="16.33203125" customWidth="1"/>
    <col min="3" max="14" width="12.6640625" customWidth="1"/>
  </cols>
  <sheetData>
    <row r="1" spans="2:19">
      <c r="B1" s="5648" t="s">
        <v>1636</v>
      </c>
      <c r="C1" s="5648"/>
      <c r="D1" s="5648"/>
      <c r="E1" s="5648"/>
      <c r="F1" s="5648"/>
      <c r="G1" s="5648"/>
      <c r="H1" s="5648"/>
      <c r="I1" s="5648"/>
      <c r="J1" s="5648"/>
      <c r="K1" s="5648"/>
      <c r="L1" s="5648"/>
      <c r="M1" s="5648"/>
      <c r="N1" s="5648"/>
    </row>
    <row r="3" spans="2:19" ht="15" thickBot="1"/>
    <row r="4" spans="2:19">
      <c r="B4" s="3825"/>
      <c r="C4" s="547" t="s">
        <v>1637</v>
      </c>
      <c r="D4" s="548"/>
      <c r="E4" s="548" t="s">
        <v>33</v>
      </c>
      <c r="F4" s="548"/>
      <c r="G4" s="548"/>
      <c r="H4" s="548"/>
      <c r="I4" s="548"/>
      <c r="J4" s="548"/>
      <c r="K4" s="548"/>
      <c r="L4" s="548"/>
      <c r="M4" s="548"/>
      <c r="N4" s="551"/>
    </row>
    <row r="5" spans="2:19">
      <c r="B5" s="3830"/>
      <c r="C5" s="549" t="s">
        <v>36</v>
      </c>
      <c r="D5" s="550" t="s">
        <v>187</v>
      </c>
      <c r="E5" s="550" t="s">
        <v>546</v>
      </c>
      <c r="F5" s="550" t="s">
        <v>188</v>
      </c>
      <c r="G5" s="550" t="s">
        <v>189</v>
      </c>
      <c r="H5" s="550" t="s">
        <v>180</v>
      </c>
      <c r="I5" s="550" t="s">
        <v>42</v>
      </c>
      <c r="J5" s="550" t="s">
        <v>43</v>
      </c>
      <c r="K5" s="550" t="s">
        <v>44</v>
      </c>
      <c r="L5" s="550" t="s">
        <v>1630</v>
      </c>
      <c r="M5" s="550" t="s">
        <v>1631</v>
      </c>
      <c r="N5" s="552" t="s">
        <v>1632</v>
      </c>
    </row>
    <row r="6" spans="2:19" ht="15" thickBot="1">
      <c r="B6" s="3830"/>
      <c r="C6" s="3906"/>
      <c r="D6" s="3836"/>
      <c r="E6" s="3836"/>
      <c r="F6" s="3836"/>
      <c r="G6" s="3836"/>
      <c r="H6" s="3836"/>
      <c r="I6" s="3836"/>
      <c r="J6" s="3836"/>
      <c r="K6" s="3836"/>
      <c r="L6" s="5661"/>
      <c r="M6" s="5661"/>
      <c r="N6" s="5698"/>
    </row>
    <row r="7" spans="2:19" ht="15" thickBot="1">
      <c r="B7" s="3907" t="s">
        <v>858</v>
      </c>
      <c r="C7" s="3908">
        <v>301</v>
      </c>
      <c r="D7" s="3909">
        <v>317</v>
      </c>
      <c r="E7" s="3909">
        <v>533</v>
      </c>
      <c r="F7" s="3910">
        <v>341</v>
      </c>
      <c r="G7" s="3910">
        <v>417</v>
      </c>
      <c r="H7" s="3909">
        <v>615</v>
      </c>
      <c r="I7" s="3909">
        <v>878</v>
      </c>
      <c r="J7" s="3909">
        <v>1478</v>
      </c>
      <c r="K7" s="3909">
        <v>1140</v>
      </c>
      <c r="L7" s="3911">
        <v>668.87</v>
      </c>
      <c r="M7" s="3911">
        <v>690</v>
      </c>
      <c r="N7" s="3912">
        <v>750</v>
      </c>
      <c r="Q7" s="3826"/>
      <c r="R7" s="3827"/>
      <c r="S7" s="3827"/>
    </row>
    <row r="8" spans="2:19">
      <c r="B8" s="555" t="s">
        <v>1404</v>
      </c>
      <c r="C8" s="3913">
        <v>191</v>
      </c>
      <c r="D8" s="3914">
        <v>88</v>
      </c>
      <c r="E8" s="3914">
        <v>237</v>
      </c>
      <c r="F8" s="3914">
        <v>51</v>
      </c>
      <c r="G8" s="3914">
        <v>114</v>
      </c>
      <c r="H8" s="3914">
        <v>202</v>
      </c>
      <c r="I8" s="3914">
        <v>298</v>
      </c>
      <c r="J8" s="3914">
        <v>867</v>
      </c>
      <c r="K8" s="3914">
        <v>377</v>
      </c>
      <c r="L8" s="3914">
        <v>270</v>
      </c>
      <c r="M8" s="3914">
        <v>270</v>
      </c>
      <c r="N8" s="3915">
        <v>290</v>
      </c>
      <c r="Q8" s="3831"/>
      <c r="R8" s="3832"/>
      <c r="S8" s="3833"/>
    </row>
    <row r="9" spans="2:19">
      <c r="B9" s="555" t="s">
        <v>1405</v>
      </c>
      <c r="C9" s="3916">
        <v>84</v>
      </c>
      <c r="D9" s="3917">
        <v>204</v>
      </c>
      <c r="E9" s="3917">
        <v>267</v>
      </c>
      <c r="F9" s="3917">
        <v>259</v>
      </c>
      <c r="G9" s="3917">
        <v>208</v>
      </c>
      <c r="H9" s="3917">
        <v>241</v>
      </c>
      <c r="I9" s="3917">
        <v>420</v>
      </c>
      <c r="J9" s="3917">
        <v>541</v>
      </c>
      <c r="K9" s="3917">
        <v>706</v>
      </c>
      <c r="L9" s="3917">
        <v>325</v>
      </c>
      <c r="M9" s="3917">
        <v>325</v>
      </c>
      <c r="N9" s="3918">
        <v>350</v>
      </c>
      <c r="Q9" s="3827"/>
      <c r="R9" s="3827"/>
      <c r="S9" s="3827"/>
    </row>
    <row r="10" spans="2:19" ht="22.8" customHeight="1" thickBot="1">
      <c r="B10" s="556" t="s">
        <v>1406</v>
      </c>
      <c r="C10" s="3919">
        <v>26</v>
      </c>
      <c r="D10" s="3920">
        <v>25</v>
      </c>
      <c r="E10" s="3920">
        <v>28</v>
      </c>
      <c r="F10" s="3920">
        <v>31</v>
      </c>
      <c r="G10" s="3920">
        <v>94</v>
      </c>
      <c r="H10" s="3920">
        <v>172</v>
      </c>
      <c r="I10" s="3920">
        <v>160</v>
      </c>
      <c r="J10" s="3920">
        <v>70</v>
      </c>
      <c r="K10" s="3920">
        <v>57</v>
      </c>
      <c r="L10" s="3920">
        <v>74</v>
      </c>
      <c r="M10" s="3920">
        <v>74</v>
      </c>
      <c r="N10" s="3921">
        <v>80</v>
      </c>
      <c r="Q10" s="3837"/>
      <c r="R10" s="3837"/>
      <c r="S10" s="3837"/>
    </row>
    <row r="11" spans="2:19" ht="22.8" customHeight="1" thickBot="1">
      <c r="B11" s="3841"/>
      <c r="C11" s="865">
        <f>C7/C17-1</f>
        <v>-0.86769230769230765</v>
      </c>
      <c r="D11" s="866">
        <f>D7/D17-1</f>
        <v>-0.46452702702702697</v>
      </c>
      <c r="E11" s="866">
        <f>E7/E17-1</f>
        <v>0.62996941896024472</v>
      </c>
      <c r="F11" s="866">
        <v>12</v>
      </c>
      <c r="G11" s="866">
        <f t="shared" ref="G11:N11" si="0">G7/G17-1</f>
        <v>1.0746268656716418</v>
      </c>
      <c r="H11" s="866">
        <f t="shared" si="0"/>
        <v>6.1511627906976747</v>
      </c>
      <c r="I11" s="866">
        <f t="shared" si="0"/>
        <v>30.357142857142858</v>
      </c>
      <c r="J11" s="866">
        <f t="shared" si="0"/>
        <v>8.7880794701986762</v>
      </c>
      <c r="K11" s="866">
        <f t="shared" si="0"/>
        <v>5.4772727272727275</v>
      </c>
      <c r="L11" s="866">
        <f t="shared" si="0"/>
        <v>1.3064482758620688</v>
      </c>
      <c r="M11" s="866">
        <f t="shared" si="0"/>
        <v>0.92737430167597767</v>
      </c>
      <c r="N11" s="3922">
        <f t="shared" si="0"/>
        <v>0.875</v>
      </c>
      <c r="Q11" s="3837"/>
      <c r="R11" s="3837"/>
      <c r="S11" s="3837"/>
    </row>
    <row r="12" spans="2:19" ht="22.8" customHeight="1" thickBot="1">
      <c r="B12" s="3841"/>
      <c r="C12" s="5670" t="s">
        <v>1633</v>
      </c>
      <c r="D12" s="5671"/>
      <c r="E12" s="5671"/>
      <c r="F12" s="5671"/>
      <c r="G12" s="5671"/>
      <c r="H12" s="5671"/>
      <c r="I12" s="5671"/>
      <c r="J12" s="5671"/>
      <c r="K12" s="5671"/>
      <c r="L12" s="5671"/>
      <c r="M12" s="5671"/>
      <c r="N12" s="5699"/>
      <c r="Q12" s="3837"/>
      <c r="R12" s="3837"/>
      <c r="S12" s="3837"/>
    </row>
    <row r="13" spans="2:19" ht="22.8" customHeight="1" thickBot="1">
      <c r="B13" s="3835"/>
      <c r="C13" s="3923"/>
      <c r="D13" s="3923"/>
      <c r="E13" s="3923"/>
      <c r="F13" s="3923"/>
      <c r="G13" s="3923"/>
      <c r="H13" s="3923"/>
      <c r="I13" s="3923"/>
      <c r="J13" s="3923"/>
      <c r="K13" s="3923"/>
      <c r="L13" s="5697"/>
      <c r="M13" s="5697"/>
      <c r="N13" s="5697"/>
      <c r="Q13" s="3837"/>
      <c r="R13" s="3837"/>
      <c r="S13" s="3837"/>
    </row>
    <row r="14" spans="2:19" ht="22.8" customHeight="1">
      <c r="C14" s="166" t="s">
        <v>1638</v>
      </c>
      <c r="D14" s="167"/>
      <c r="E14" s="167" t="s">
        <v>33</v>
      </c>
      <c r="F14" s="167"/>
      <c r="G14" s="167"/>
      <c r="H14" s="167"/>
      <c r="I14" s="167"/>
      <c r="J14" s="167"/>
      <c r="K14" s="167"/>
      <c r="L14" s="167"/>
      <c r="M14" s="167"/>
      <c r="N14" s="168"/>
      <c r="Q14" s="3837"/>
      <c r="R14" s="3837"/>
      <c r="S14" s="3837"/>
    </row>
    <row r="15" spans="2:19" ht="22.8" customHeight="1">
      <c r="C15" s="3924" t="s">
        <v>36</v>
      </c>
      <c r="D15" s="3925" t="s">
        <v>37</v>
      </c>
      <c r="E15" s="3925" t="s">
        <v>38</v>
      </c>
      <c r="F15" s="3925" t="s">
        <v>39</v>
      </c>
      <c r="G15" s="3925" t="s">
        <v>40</v>
      </c>
      <c r="H15" s="3925" t="s">
        <v>41</v>
      </c>
      <c r="I15" s="3925" t="s">
        <v>42</v>
      </c>
      <c r="J15" s="3925" t="s">
        <v>43</v>
      </c>
      <c r="K15" s="3925" t="s">
        <v>44</v>
      </c>
      <c r="L15" s="3925" t="s">
        <v>45</v>
      </c>
      <c r="M15" s="3925" t="s">
        <v>46</v>
      </c>
      <c r="N15" s="3926" t="s">
        <v>47</v>
      </c>
      <c r="Q15" s="3837"/>
      <c r="R15" s="3837"/>
      <c r="S15" s="3837"/>
    </row>
    <row r="16" spans="2:19" ht="15" thickBot="1">
      <c r="C16" s="466"/>
      <c r="D16" s="3843"/>
      <c r="E16" s="3843"/>
      <c r="F16" s="3843"/>
      <c r="G16" s="3843"/>
      <c r="H16" s="3843"/>
      <c r="I16" s="3843"/>
      <c r="J16" s="3843"/>
      <c r="K16" s="3843"/>
      <c r="L16" s="3843"/>
      <c r="M16" s="3843"/>
      <c r="N16" s="3927"/>
      <c r="Q16" s="3837"/>
      <c r="R16" s="3837"/>
      <c r="S16" s="3837"/>
    </row>
    <row r="17" spans="2:19" ht="22.8" customHeight="1" thickBot="1">
      <c r="B17" s="3928" t="s">
        <v>858</v>
      </c>
      <c r="C17" s="3929">
        <v>2275</v>
      </c>
      <c r="D17" s="3930">
        <v>592</v>
      </c>
      <c r="E17" s="3930">
        <v>327</v>
      </c>
      <c r="F17" s="3930">
        <v>32</v>
      </c>
      <c r="G17" s="3930">
        <v>201</v>
      </c>
      <c r="H17" s="3930">
        <v>86</v>
      </c>
      <c r="I17" s="3930">
        <v>28</v>
      </c>
      <c r="J17" s="3931">
        <v>151</v>
      </c>
      <c r="K17" s="3931">
        <v>176</v>
      </c>
      <c r="L17" s="3930">
        <v>290</v>
      </c>
      <c r="M17" s="3930">
        <v>358</v>
      </c>
      <c r="N17" s="3932">
        <v>400</v>
      </c>
      <c r="Q17" s="3837"/>
      <c r="R17" s="3837"/>
      <c r="S17" s="3837"/>
    </row>
    <row r="18" spans="2:19" ht="22.8" customHeight="1">
      <c r="B18" s="336" t="s">
        <v>1404</v>
      </c>
      <c r="C18" s="3933">
        <v>1701</v>
      </c>
      <c r="D18" s="3934">
        <v>11</v>
      </c>
      <c r="E18" s="3934">
        <v>9</v>
      </c>
      <c r="F18" s="3934">
        <v>0</v>
      </c>
      <c r="G18" s="3934">
        <v>90</v>
      </c>
      <c r="H18" s="3934">
        <v>46</v>
      </c>
      <c r="I18" s="3934">
        <v>10</v>
      </c>
      <c r="J18" s="3934">
        <v>127</v>
      </c>
      <c r="K18" s="3934">
        <v>120</v>
      </c>
      <c r="L18" s="3934">
        <v>91</v>
      </c>
      <c r="M18" s="3934">
        <v>240</v>
      </c>
      <c r="N18" s="3935">
        <v>264</v>
      </c>
      <c r="Q18" s="3837"/>
      <c r="R18" s="3837"/>
      <c r="S18" s="3837"/>
    </row>
    <row r="19" spans="2:19">
      <c r="B19" s="336" t="s">
        <v>1405</v>
      </c>
      <c r="C19" s="3936">
        <v>439</v>
      </c>
      <c r="D19" s="3937">
        <v>545</v>
      </c>
      <c r="E19" s="3937">
        <v>252</v>
      </c>
      <c r="F19" s="3937">
        <v>16</v>
      </c>
      <c r="G19" s="3937">
        <v>57</v>
      </c>
      <c r="H19" s="3937">
        <v>26</v>
      </c>
      <c r="I19" s="3938">
        <v>4</v>
      </c>
      <c r="J19" s="3938">
        <v>1</v>
      </c>
      <c r="K19" s="3938">
        <v>39</v>
      </c>
      <c r="L19" s="3938">
        <v>121</v>
      </c>
      <c r="M19" s="3938">
        <v>99</v>
      </c>
      <c r="N19" s="3939">
        <v>47</v>
      </c>
    </row>
    <row r="20" spans="2:19" ht="15" thickBot="1">
      <c r="B20" s="468" t="s">
        <v>1406</v>
      </c>
      <c r="C20" s="3940">
        <v>135</v>
      </c>
      <c r="D20" s="3941">
        <v>36</v>
      </c>
      <c r="E20" s="3941">
        <v>66</v>
      </c>
      <c r="F20" s="3941">
        <v>16</v>
      </c>
      <c r="G20" s="3941">
        <v>55</v>
      </c>
      <c r="H20" s="3941">
        <v>15</v>
      </c>
      <c r="I20" s="3942">
        <v>13</v>
      </c>
      <c r="J20" s="3942">
        <v>22</v>
      </c>
      <c r="K20" s="3942">
        <v>17</v>
      </c>
      <c r="L20" s="3942">
        <v>79</v>
      </c>
      <c r="M20" s="3942">
        <v>19</v>
      </c>
      <c r="N20" s="3943">
        <v>89</v>
      </c>
    </row>
    <row r="21" spans="2:19" ht="15" thickBot="1">
      <c r="B21" s="3844"/>
      <c r="C21" s="865">
        <f t="shared" ref="C21:N21" si="1">C17/C27-1</f>
        <v>-0.50116559526937965</v>
      </c>
      <c r="D21" s="866">
        <f t="shared" si="1"/>
        <v>-0.87686274845693779</v>
      </c>
      <c r="E21" s="866">
        <f t="shared" si="1"/>
        <v>-0.9315891117627183</v>
      </c>
      <c r="F21" s="866">
        <f t="shared" si="1"/>
        <v>-0.9870540228246556</v>
      </c>
      <c r="G21" s="866">
        <f t="shared" si="1"/>
        <v>-0.93691067927035987</v>
      </c>
      <c r="H21" s="866">
        <f t="shared" si="1"/>
        <v>-0.97526305663518931</v>
      </c>
      <c r="I21" s="866">
        <f t="shared" si="1"/>
        <v>-0.99231121305964565</v>
      </c>
      <c r="J21" s="866">
        <f t="shared" si="1"/>
        <v>-0.90036666869190851</v>
      </c>
      <c r="K21" s="866">
        <f t="shared" si="1"/>
        <v>-0.93510918712989566</v>
      </c>
      <c r="L21" s="866">
        <f t="shared" si="1"/>
        <v>-0.91271506375479294</v>
      </c>
      <c r="M21" s="866">
        <f t="shared" si="1"/>
        <v>-0.90211602079358766</v>
      </c>
      <c r="N21" s="3922">
        <f t="shared" si="1"/>
        <v>-0.78552278820375332</v>
      </c>
    </row>
    <row r="22" spans="2:19" ht="15" thickBot="1">
      <c r="C22" s="5670" t="s">
        <v>1633</v>
      </c>
      <c r="D22" s="5671"/>
      <c r="E22" s="5671"/>
      <c r="F22" s="5671"/>
      <c r="G22" s="5671"/>
      <c r="H22" s="5671"/>
      <c r="I22" s="5671"/>
      <c r="J22" s="5671"/>
      <c r="K22" s="5671"/>
      <c r="L22" s="5671"/>
      <c r="M22" s="5671"/>
      <c r="N22" s="5699"/>
    </row>
    <row r="23" spans="2:19" ht="15" thickBot="1">
      <c r="B23" s="3835"/>
      <c r="C23" s="3923"/>
      <c r="D23" s="3923"/>
      <c r="E23" s="3923"/>
      <c r="F23" s="3923"/>
      <c r="G23" s="3923"/>
      <c r="H23" s="3923"/>
      <c r="I23" s="3923"/>
      <c r="J23" s="3923"/>
      <c r="K23" s="3923"/>
      <c r="L23" s="5697"/>
      <c r="M23" s="5697"/>
      <c r="N23" s="5697"/>
    </row>
    <row r="24" spans="2:19">
      <c r="B24" s="3845"/>
      <c r="C24" s="1348" t="s">
        <v>1639</v>
      </c>
      <c r="D24" s="1328"/>
      <c r="E24" s="1328" t="s">
        <v>33</v>
      </c>
      <c r="F24" s="1328"/>
      <c r="G24" s="1328"/>
      <c r="H24" s="1328"/>
      <c r="I24" s="1328"/>
      <c r="J24" s="1328"/>
      <c r="K24" s="1328"/>
      <c r="L24" s="1328"/>
      <c r="M24" s="1328"/>
      <c r="N24" s="1329"/>
    </row>
    <row r="25" spans="2:19">
      <c r="B25" s="3846"/>
      <c r="C25" s="1349" t="s">
        <v>36</v>
      </c>
      <c r="D25" s="1330" t="s">
        <v>187</v>
      </c>
      <c r="E25" s="1330" t="s">
        <v>546</v>
      </c>
      <c r="F25" s="1330" t="s">
        <v>188</v>
      </c>
      <c r="G25" s="1330" t="s">
        <v>189</v>
      </c>
      <c r="H25" s="1330" t="s">
        <v>180</v>
      </c>
      <c r="I25" s="1330" t="s">
        <v>42</v>
      </c>
      <c r="J25" s="1330" t="s">
        <v>43</v>
      </c>
      <c r="K25" s="1330" t="s">
        <v>44</v>
      </c>
      <c r="L25" s="1330" t="s">
        <v>45</v>
      </c>
      <c r="M25" s="1330" t="s">
        <v>46</v>
      </c>
      <c r="N25" s="1331" t="s">
        <v>47</v>
      </c>
    </row>
    <row r="26" spans="2:19" ht="43.8" thickBot="1">
      <c r="B26" s="3846"/>
      <c r="C26" s="1350" t="s">
        <v>576</v>
      </c>
      <c r="D26" s="3944" t="s">
        <v>576</v>
      </c>
      <c r="E26" s="3944" t="s">
        <v>576</v>
      </c>
      <c r="F26" s="3944" t="s">
        <v>576</v>
      </c>
      <c r="G26" s="3944" t="s">
        <v>576</v>
      </c>
      <c r="H26" s="3944" t="s">
        <v>576</v>
      </c>
      <c r="I26" s="3944" t="s">
        <v>576</v>
      </c>
      <c r="J26" s="3944" t="s">
        <v>576</v>
      </c>
      <c r="K26" s="3944" t="s">
        <v>576</v>
      </c>
      <c r="L26" s="3944" t="s">
        <v>576</v>
      </c>
      <c r="M26" s="3944" t="s">
        <v>576</v>
      </c>
      <c r="N26" s="3945" t="s">
        <v>1633</v>
      </c>
    </row>
    <row r="27" spans="2:19" ht="15" thickBot="1">
      <c r="B27" s="3928" t="s">
        <v>858</v>
      </c>
      <c r="C27" s="3946">
        <v>4560.6317014732394</v>
      </c>
      <c r="D27" s="3947">
        <v>4807.6434432432698</v>
      </c>
      <c r="E27" s="3947">
        <v>4779.9408606683701</v>
      </c>
      <c r="F27" s="3947">
        <v>2471.8103211972298</v>
      </c>
      <c r="G27" s="3947">
        <v>3185.9591714635098</v>
      </c>
      <c r="H27" s="3947">
        <v>3476.5815133950005</v>
      </c>
      <c r="I27" s="3947">
        <v>3641.6667827070196</v>
      </c>
      <c r="J27" s="3947">
        <v>1515.5570732957804</v>
      </c>
      <c r="K27" s="3947">
        <v>2712.24834788723</v>
      </c>
      <c r="L27" s="3947">
        <v>3322.4518740016201</v>
      </c>
      <c r="M27" s="3947">
        <v>3657.3911573932801</v>
      </c>
      <c r="N27" s="3948">
        <v>1865</v>
      </c>
    </row>
    <row r="28" spans="2:19">
      <c r="B28" s="336" t="s">
        <v>1404</v>
      </c>
      <c r="C28" s="3933"/>
      <c r="D28" s="3934"/>
      <c r="E28" s="3934"/>
      <c r="F28" s="3934"/>
      <c r="G28" s="3934"/>
      <c r="H28" s="3934"/>
      <c r="I28" s="3934"/>
      <c r="J28" s="3934"/>
      <c r="K28" s="3934"/>
      <c r="L28" s="3934"/>
      <c r="M28" s="3934"/>
      <c r="N28" s="3934">
        <v>865</v>
      </c>
    </row>
    <row r="29" spans="2:19">
      <c r="B29" s="336" t="s">
        <v>1405</v>
      </c>
      <c r="C29" s="3936"/>
      <c r="D29" s="3937"/>
      <c r="E29" s="3937"/>
      <c r="F29" s="3937"/>
      <c r="G29" s="3937"/>
      <c r="H29" s="3937"/>
      <c r="I29" s="3938"/>
      <c r="J29" s="3938"/>
      <c r="K29" s="3938"/>
      <c r="L29" s="3938"/>
      <c r="M29" s="3938"/>
      <c r="N29" s="3938">
        <v>773</v>
      </c>
    </row>
    <row r="30" spans="2:19" ht="15" thickBot="1">
      <c r="B30" s="468" t="s">
        <v>1406</v>
      </c>
      <c r="C30" s="3940"/>
      <c r="D30" s="3941"/>
      <c r="E30" s="3941"/>
      <c r="F30" s="3941"/>
      <c r="G30" s="3941"/>
      <c r="H30" s="3941"/>
      <c r="I30" s="3942"/>
      <c r="J30" s="3942"/>
      <c r="K30" s="3942"/>
      <c r="L30" s="3942"/>
      <c r="M30" s="3942"/>
      <c r="N30" s="3942">
        <v>227</v>
      </c>
    </row>
    <row r="31" spans="2:19" ht="15" thickBot="1">
      <c r="B31" s="3844"/>
      <c r="C31" s="865"/>
      <c r="D31" s="866"/>
      <c r="E31" s="866"/>
      <c r="F31" s="866"/>
      <c r="G31" s="866"/>
      <c r="H31" s="866"/>
      <c r="I31" s="866"/>
      <c r="J31" s="866"/>
      <c r="K31" s="866"/>
      <c r="L31" s="866"/>
      <c r="M31" s="866"/>
      <c r="N31" s="866"/>
    </row>
    <row r="33" spans="14:14">
      <c r="N33">
        <v>-0.7</v>
      </c>
    </row>
  </sheetData>
  <mergeCells count="6">
    <mergeCell ref="L23:N23"/>
    <mergeCell ref="B1:N1"/>
    <mergeCell ref="L6:N6"/>
    <mergeCell ref="C12:N12"/>
    <mergeCell ref="L13:N13"/>
    <mergeCell ref="C22:N22"/>
  </mergeCells>
  <pageMargins left="0.17" right="0.17" top="0.74803149606299213" bottom="0.74803149606299213" header="0.31496062992125984" footer="0.31496062992125984"/>
  <pageSetup scale="51" orientation="landscape" verticalDpi="597"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26"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89" customFormat="1" ht="13.8">
      <c r="B1" s="977"/>
      <c r="C1" s="978"/>
      <c r="D1" s="978"/>
      <c r="E1" s="978"/>
      <c r="F1" s="978"/>
      <c r="G1" s="978"/>
      <c r="H1" s="978"/>
      <c r="I1" s="978"/>
      <c r="J1" s="978"/>
      <c r="K1" s="978"/>
      <c r="L1" s="977"/>
      <c r="M1" s="978"/>
      <c r="R1" s="326"/>
    </row>
    <row r="2" spans="1:18" s="389" customFormat="1" ht="42" thickBot="1">
      <c r="B2" s="979" t="s">
        <v>591</v>
      </c>
      <c r="C2" s="980"/>
      <c r="E2" s="977"/>
      <c r="L2" s="981"/>
      <c r="N2" s="976"/>
      <c r="Q2" s="1433" t="s">
        <v>1070</v>
      </c>
      <c r="R2" s="326"/>
    </row>
    <row r="3" spans="1:18" s="389" customFormat="1" ht="19.5" customHeight="1">
      <c r="B3" s="5700" t="s">
        <v>849</v>
      </c>
      <c r="C3" s="5702">
        <v>2006</v>
      </c>
      <c r="D3" s="5704">
        <v>2007</v>
      </c>
      <c r="E3" s="5704">
        <v>2008</v>
      </c>
      <c r="F3" s="5704">
        <v>2009</v>
      </c>
      <c r="G3" s="5704">
        <v>2010</v>
      </c>
      <c r="H3" s="5704">
        <v>2011</v>
      </c>
      <c r="I3" s="5704">
        <v>2012</v>
      </c>
      <c r="J3" s="5704">
        <v>2013</v>
      </c>
      <c r="K3" s="5704">
        <v>2014</v>
      </c>
      <c r="L3" s="5704">
        <v>2015</v>
      </c>
      <c r="M3" s="5704">
        <v>2016</v>
      </c>
      <c r="N3" s="5704" t="s">
        <v>578</v>
      </c>
      <c r="O3" s="5706" t="s">
        <v>813</v>
      </c>
      <c r="P3" s="5706" t="s">
        <v>868</v>
      </c>
      <c r="Q3" s="5708" t="s">
        <v>1069</v>
      </c>
      <c r="R3" s="326"/>
    </row>
    <row r="4" spans="1:18" ht="19.5" customHeight="1" thickBot="1">
      <c r="B4" s="5701"/>
      <c r="C4" s="5703"/>
      <c r="D4" s="5705"/>
      <c r="E4" s="5705"/>
      <c r="F4" s="5705"/>
      <c r="G4" s="5705"/>
      <c r="H4" s="5705"/>
      <c r="I4" s="5705"/>
      <c r="J4" s="5705"/>
      <c r="K4" s="5705"/>
      <c r="L4" s="5705"/>
      <c r="M4" s="5705"/>
      <c r="N4" s="5705"/>
      <c r="O4" s="5707"/>
      <c r="P4" s="5707"/>
      <c r="Q4" s="5709"/>
      <c r="R4" s="997" t="s">
        <v>862</v>
      </c>
    </row>
    <row r="5" spans="1:18" ht="13.8">
      <c r="A5" s="226"/>
      <c r="B5" s="982" t="s">
        <v>768</v>
      </c>
      <c r="C5" s="983">
        <f>'Estancia hotelera'!D19</f>
        <v>1.6355509319981032</v>
      </c>
      <c r="D5" s="983">
        <f>'Estancia hotelera'!E19</f>
        <v>1.6057938243488814</v>
      </c>
      <c r="E5" s="983">
        <f>'Estancia hotelera'!F19</f>
        <v>1.5220293541723511</v>
      </c>
      <c r="F5" s="983">
        <f>'Estancia hotelera'!G19</f>
        <v>1.4659289769839066</v>
      </c>
      <c r="G5" s="983">
        <f>'Estancia hotelera'!H19</f>
        <v>1.4492757533049243</v>
      </c>
      <c r="H5" s="983">
        <f>'Estancia hotelera'!I19</f>
        <v>1.4819725113027151</v>
      </c>
      <c r="I5" s="983">
        <f>'Estancia hotelera'!J19</f>
        <v>1.5431726537996364</v>
      </c>
      <c r="J5" s="983">
        <f>'Estancia hotelera'!K19</f>
        <v>1.5994361485517086</v>
      </c>
      <c r="K5" s="983">
        <f>'Estancia hotelera'!L19</f>
        <v>1.6156575134046374</v>
      </c>
      <c r="L5" s="983">
        <f>'Estancia hotelera'!M19</f>
        <v>1.5855894194982867</v>
      </c>
      <c r="M5" s="983">
        <f>'Estancia hotelera'!N19</f>
        <v>1.5566332188277681</v>
      </c>
      <c r="N5" s="983">
        <f>'Estancia hotelera'!O19</f>
        <v>1.5448134813886878</v>
      </c>
      <c r="O5" s="998">
        <f>'Estancia hotelera'!P19</f>
        <v>1.5756734082798449</v>
      </c>
      <c r="P5" s="998">
        <f>'Estancia hotelera'!Q19</f>
        <v>1.48</v>
      </c>
      <c r="Q5" s="1432">
        <f>P5</f>
        <v>1.48</v>
      </c>
      <c r="R5" s="226" t="s">
        <v>600</v>
      </c>
    </row>
    <row r="6" spans="1:18" ht="13.8">
      <c r="B6" s="984" t="s">
        <v>850</v>
      </c>
      <c r="C6" s="991"/>
      <c r="D6" s="992"/>
      <c r="E6" s="992"/>
      <c r="F6" s="992"/>
      <c r="G6" s="992">
        <f>AVERAGE(1.38,1.43,1.41,1.47,1.49,1.41,1.45,1.45,1.47,1.44,1.41,1.41)</f>
        <v>1.4349999999999998</v>
      </c>
      <c r="H6" s="992"/>
      <c r="I6" s="992"/>
      <c r="J6" s="992"/>
      <c r="K6" s="992"/>
      <c r="L6" s="992"/>
      <c r="M6" s="992"/>
      <c r="N6" s="992"/>
      <c r="O6" s="994"/>
      <c r="P6" s="994"/>
      <c r="Q6" s="1432">
        <f>AVERAGE(G6:P6)</f>
        <v>1.4349999999999998</v>
      </c>
      <c r="R6" s="986" t="s">
        <v>851</v>
      </c>
    </row>
    <row r="7" spans="1:18" ht="13.8">
      <c r="B7" s="984" t="s">
        <v>852</v>
      </c>
      <c r="C7" s="992"/>
      <c r="D7" s="992"/>
      <c r="E7" s="992"/>
      <c r="F7" s="992"/>
      <c r="G7" s="992">
        <f>AVERAGE(2.09,2.14,2.21,2.38,2.47,2.64,2.92,3.19,2.84,2.46,2.17,2.12)</f>
        <v>2.4691666666666672</v>
      </c>
      <c r="H7" s="992">
        <f>AVERAGE(2.16,2.16,2.26,2.51,2.47,2.76,2.9,3.19,2.88,2.52,2.24,2.15)</f>
        <v>2.5166666666666662</v>
      </c>
      <c r="I7" s="992">
        <f>AVERAGE(2.17,2.22,2.27,2.54,2.63,2.82,3.05,3.38,2.97,2.62,2.29,2.22)</f>
        <v>2.5983333333333332</v>
      </c>
      <c r="J7" s="992">
        <f>AVERAGE(2.29,2.31,2.44,2.5,2.71,2.88,3.12,3.35,3.02,2.6,2.27,2.24)</f>
        <v>2.644166666666667</v>
      </c>
      <c r="K7" s="992">
        <f>AVERAGE(2.31,2.32,2.37,2.64,2.67,2.8,3,3.25,2.94,2.64,2.33,2.2)</f>
        <v>2.6225000000000001</v>
      </c>
      <c r="L7" s="992">
        <f>AVERAGE(2.35,2.3,2.5,2.61,2.63,2.72,3.14,3.28,2.63,2.38,2.32)</f>
        <v>2.6236363636363635</v>
      </c>
      <c r="M7" s="992">
        <f>AVERAGE(2.37,2.36,2.51,2.53,2.58,2.67, 2.92,3.2,2.87,2.57,2.34,2.38)</f>
        <v>2.6083333333333329</v>
      </c>
      <c r="N7" s="992">
        <f>AVERAGE(2.33,2.34,2.46,2.58,2.64,2.82,2.98,3.28,2.84,2.6,2.25,2.2)</f>
        <v>2.6100000000000003</v>
      </c>
      <c r="O7" s="994">
        <f>AVERAGE(2.3,2.28,2.38,2.49,2.67,2.66,2.87,3.15)</f>
        <v>2.5999999999999996</v>
      </c>
      <c r="P7" s="994">
        <f>AVERAGE(2.3,2.28,2.38,2.49,2.67,2.66,2.87,3.15)</f>
        <v>2.5999999999999996</v>
      </c>
      <c r="Q7" s="1432">
        <f>P7</f>
        <v>2.5999999999999996</v>
      </c>
      <c r="R7" s="986" t="s">
        <v>860</v>
      </c>
    </row>
    <row r="8" spans="1:18" ht="13.8">
      <c r="B8" s="984" t="s">
        <v>853</v>
      </c>
      <c r="C8" s="992"/>
      <c r="D8" s="992"/>
      <c r="E8" s="992"/>
      <c r="F8" s="992"/>
      <c r="G8" s="992"/>
      <c r="H8" s="992"/>
      <c r="I8" s="992"/>
      <c r="J8" s="992"/>
      <c r="K8" s="992"/>
      <c r="L8" s="992">
        <v>1.96</v>
      </c>
      <c r="M8" s="992"/>
      <c r="N8" s="992"/>
      <c r="O8" s="994"/>
      <c r="P8" s="994"/>
      <c r="Q8" s="1432">
        <f>L8</f>
        <v>1.96</v>
      </c>
      <c r="R8" s="226" t="s">
        <v>854</v>
      </c>
    </row>
    <row r="9" spans="1:18" ht="13.8">
      <c r="B9" s="984" t="s">
        <v>859</v>
      </c>
      <c r="C9" s="992"/>
      <c r="D9" s="992"/>
      <c r="E9" s="992"/>
      <c r="F9" s="992"/>
      <c r="G9" s="992">
        <f>AVERAGE(1.86,1.83,1.88,1.98,1.92,1.88,1.84,1.93,1.89,1.89,1.86,1.82)</f>
        <v>1.8816666666666668</v>
      </c>
      <c r="H9" s="992">
        <f>AVERAGE(1.89,1.85,1.92,2.02,1.94,1.87,1.86,2.07,1.91,1.98,1.88,1.89)</f>
        <v>1.9233333333333331</v>
      </c>
      <c r="I9" s="992">
        <f>AVERAGE(1.9,1.83,1.88,2,1.89,1.85,1.85,1.89,1.92,1.95,1.9,1.86)</f>
        <v>1.8933333333333329</v>
      </c>
      <c r="J9" s="992">
        <f>AVERAGE(1.92,1.87,1.95,1.92,1.92,1.89,1.92,1.96,1.96,1.97,1.95,1.93)</f>
        <v>1.93</v>
      </c>
      <c r="K9" s="992">
        <f>AVERAGE(1.92,1.84,1.94,1.99,1.97,1.9,1.89,1.92,1.99,1.94,1.92,1.92)</f>
        <v>1.9283333333333335</v>
      </c>
      <c r="L9" s="992">
        <f>AVERAGE(1.959,1.85,1.94,1.98,1.99,1.92,1.91,1.97,1.95,1.98,1.92,1.95)</f>
        <v>1.9432499999999999</v>
      </c>
      <c r="M9" s="992">
        <f>AVERAGE(1.98,1.9,1.94,1.9,1.89,1.87,1.95,2.01,1.95,1.97,1.91,2)</f>
        <v>1.9391666666666667</v>
      </c>
      <c r="N9" s="992">
        <f>AVERAGE(2,1.91,1.93,2.03,1.97,2.02,1.99,2.06,1.98,1.99,2,2.01)</f>
        <v>1.9908333333333335</v>
      </c>
      <c r="O9" s="994">
        <f>AVERAGE(2.03,1.91,1.95,2.01,1.99,1.94,1.95,2.01)</f>
        <v>1.9737499999999997</v>
      </c>
      <c r="P9" s="994">
        <f>AVERAGE(2.03,1.91,1.95,2.01,1.99,1.94,1.95,2.01)</f>
        <v>1.9737499999999997</v>
      </c>
      <c r="Q9" s="1432">
        <f>P9</f>
        <v>1.9737499999999997</v>
      </c>
      <c r="R9" s="226" t="s">
        <v>860</v>
      </c>
    </row>
    <row r="10" spans="1:18" ht="13.8">
      <c r="B10" s="984" t="s">
        <v>863</v>
      </c>
      <c r="C10" s="992">
        <v>1.4</v>
      </c>
      <c r="D10" s="992">
        <v>1.4</v>
      </c>
      <c r="E10" s="992">
        <v>1.4</v>
      </c>
      <c r="F10" s="992">
        <v>1.4</v>
      </c>
      <c r="G10" s="992">
        <v>1.3</v>
      </c>
      <c r="H10" s="992">
        <v>1.3</v>
      </c>
      <c r="I10" s="992">
        <v>1.4</v>
      </c>
      <c r="J10" s="992"/>
      <c r="K10" s="992"/>
      <c r="L10" s="992"/>
      <c r="M10" s="992"/>
      <c r="N10" s="992"/>
      <c r="O10" s="994"/>
      <c r="P10" s="994"/>
      <c r="Q10" s="1432">
        <f>I10</f>
        <v>1.4</v>
      </c>
      <c r="R10" s="226" t="s">
        <v>861</v>
      </c>
    </row>
    <row r="11" spans="1:18" ht="14.4" thickBot="1">
      <c r="B11" s="985"/>
      <c r="C11" s="993"/>
      <c r="D11" s="993"/>
      <c r="E11" s="993"/>
      <c r="F11" s="993"/>
      <c r="G11" s="993"/>
      <c r="H11" s="993"/>
      <c r="I11" s="993"/>
      <c r="J11" s="993"/>
      <c r="K11" s="993"/>
      <c r="L11" s="993"/>
      <c r="M11" s="993"/>
      <c r="N11" s="993"/>
      <c r="O11" s="995"/>
      <c r="P11" s="995"/>
      <c r="Q11" s="999"/>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4" orientation="landscape" verticalDpi="597" r:id="rId4"/>
  <drawing r:id="rId5"/>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39"/>
      <c r="B1" s="1628" t="s">
        <v>1085</v>
      </c>
      <c r="C1" s="1629"/>
      <c r="D1" s="1630"/>
      <c r="E1" s="1630"/>
      <c r="F1" s="1630"/>
      <c r="G1" s="1630"/>
      <c r="H1" s="1631"/>
      <c r="I1" s="1631"/>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3"/>
      <c r="AJ1" s="1633"/>
      <c r="AK1" s="1633"/>
      <c r="AL1" s="1633"/>
      <c r="AM1" s="1633"/>
      <c r="AN1" s="1633"/>
      <c r="AO1" s="1633"/>
      <c r="AP1" s="1633"/>
      <c r="AQ1" s="1633"/>
      <c r="AR1" s="1633"/>
      <c r="AS1" s="1633"/>
      <c r="AT1" s="1633"/>
      <c r="AU1" s="1632"/>
      <c r="AV1" s="1632"/>
      <c r="AW1" s="1632"/>
      <c r="AX1" s="1632"/>
      <c r="AY1" s="1632"/>
      <c r="AZ1" s="1632"/>
      <c r="BA1" s="1632"/>
      <c r="BB1" s="1632"/>
      <c r="BC1" s="1632"/>
      <c r="BD1" s="1632"/>
      <c r="BE1" s="1632"/>
      <c r="BF1" s="1632"/>
      <c r="BG1" s="1632"/>
      <c r="BH1" s="1632"/>
      <c r="BI1" s="1632"/>
      <c r="BJ1" s="1632"/>
      <c r="BK1" s="1632"/>
      <c r="BL1" s="1632"/>
      <c r="BM1" s="1632"/>
      <c r="BN1" s="1632"/>
      <c r="BO1" s="1632"/>
      <c r="BP1" s="1632"/>
      <c r="BQ1" s="1632"/>
      <c r="BR1" s="1632"/>
      <c r="BS1" s="1632"/>
      <c r="BT1" s="1632"/>
      <c r="BU1" s="1632"/>
      <c r="BV1" s="1632"/>
      <c r="BW1" s="1632"/>
      <c r="BX1" s="1632"/>
      <c r="BY1" s="1632"/>
      <c r="BZ1" s="1632"/>
      <c r="CA1" s="1632"/>
      <c r="CB1" s="1632"/>
      <c r="CC1" s="1632"/>
      <c r="CD1" s="1632"/>
      <c r="CE1" s="1632"/>
      <c r="CF1" s="1632"/>
      <c r="CG1" s="1632"/>
      <c r="CH1" s="1632"/>
      <c r="CI1" s="1632"/>
      <c r="CJ1" s="1632"/>
      <c r="CK1" s="1632"/>
      <c r="CL1" s="1632"/>
      <c r="CM1" s="1632"/>
      <c r="CN1" s="1632"/>
      <c r="CO1" s="1632"/>
      <c r="CP1" s="1632"/>
      <c r="CQ1" s="1632"/>
      <c r="CR1" s="1632"/>
      <c r="CS1" s="1632"/>
      <c r="CT1" s="1632"/>
      <c r="CU1" s="1632"/>
      <c r="CV1" s="1632"/>
      <c r="CW1" s="1632"/>
      <c r="CX1" s="1632"/>
      <c r="CY1" s="1632"/>
      <c r="CZ1" s="1632"/>
      <c r="DA1" s="1632"/>
      <c r="DB1" s="1632"/>
      <c r="DC1" s="1632"/>
      <c r="DD1" s="1632"/>
      <c r="DE1" s="1632"/>
      <c r="DF1" s="1632"/>
      <c r="DG1" s="1632"/>
      <c r="DH1" s="1632"/>
      <c r="DI1" s="1632"/>
      <c r="DJ1" s="1632"/>
      <c r="DK1" s="1632"/>
      <c r="DL1" s="1632"/>
      <c r="DM1" s="1632"/>
      <c r="DN1" s="1632"/>
      <c r="DO1" s="1632"/>
      <c r="DP1" s="1632"/>
      <c r="DQ1" s="1632"/>
      <c r="DR1" s="1632"/>
      <c r="DS1" s="1632"/>
      <c r="DT1" s="1632"/>
      <c r="DU1" s="1632"/>
      <c r="DV1" s="1632"/>
      <c r="DW1" s="1632"/>
      <c r="DX1" s="1632"/>
      <c r="DY1" s="1632"/>
      <c r="DZ1" s="1632"/>
      <c r="EA1" s="1632"/>
      <c r="EB1" s="1632"/>
      <c r="EC1" s="1632"/>
      <c r="ED1" s="1632"/>
      <c r="EE1" s="1632"/>
      <c r="EF1" s="1632"/>
      <c r="EG1" s="1632"/>
      <c r="EH1" s="1632"/>
      <c r="EI1" s="1632"/>
      <c r="EJ1" s="1632"/>
      <c r="EK1" s="1632"/>
      <c r="EL1" s="1632"/>
      <c r="EM1" s="1632"/>
      <c r="EN1" s="1632"/>
      <c r="EO1" s="1632"/>
      <c r="EP1" s="1632"/>
      <c r="EQ1" s="1632"/>
      <c r="ER1" s="1632"/>
      <c r="ES1" s="1632"/>
      <c r="ET1" s="1632"/>
      <c r="EU1" s="1632"/>
      <c r="EV1" s="1632"/>
      <c r="EW1" s="1632"/>
      <c r="EX1" s="1632"/>
      <c r="EY1" s="1632"/>
      <c r="EZ1" s="1632"/>
      <c r="FA1" s="1634"/>
      <c r="FB1" s="1632" t="s">
        <v>147</v>
      </c>
      <c r="FC1" s="1632"/>
      <c r="FD1" s="1632"/>
      <c r="FE1" s="1632"/>
      <c r="FF1" s="1632"/>
      <c r="FG1" s="1632"/>
      <c r="FH1" s="1632"/>
      <c r="FI1" s="1632"/>
      <c r="FJ1" s="1632"/>
    </row>
    <row r="2" spans="1:245">
      <c r="A2" s="1439"/>
      <c r="B2" s="1635" t="s">
        <v>179</v>
      </c>
      <c r="C2" s="1636"/>
      <c r="D2" s="1457"/>
      <c r="E2" s="1457"/>
      <c r="F2" s="1457"/>
      <c r="G2" s="1637">
        <v>2006</v>
      </c>
      <c r="H2" s="1637"/>
      <c r="I2" s="1637"/>
      <c r="J2" s="1638"/>
      <c r="K2" s="1639"/>
      <c r="L2" s="1640"/>
      <c r="M2" s="1641"/>
      <c r="N2" s="1642"/>
      <c r="O2" s="1643"/>
      <c r="P2" s="1640">
        <v>2007</v>
      </c>
      <c r="Q2" s="1643"/>
      <c r="R2" s="1643"/>
      <c r="S2" s="1643"/>
      <c r="T2" s="1643"/>
      <c r="U2" s="1643"/>
      <c r="V2" s="1644"/>
      <c r="W2" s="1615"/>
      <c r="X2" s="1456"/>
      <c r="Y2" s="1456"/>
      <c r="Z2" s="1456"/>
      <c r="AA2" s="1456"/>
      <c r="AB2" s="1456">
        <v>2008</v>
      </c>
      <c r="AC2" s="1456"/>
      <c r="AD2" s="1456"/>
      <c r="AE2" s="1456"/>
      <c r="AF2" s="1456"/>
      <c r="AG2" s="1456"/>
      <c r="AH2" s="1645"/>
      <c r="AI2" s="1646"/>
      <c r="AJ2" s="1647"/>
      <c r="AK2" s="1647"/>
      <c r="AL2" s="1647"/>
      <c r="AM2" s="1647"/>
      <c r="AN2" s="1647">
        <v>2009</v>
      </c>
      <c r="AO2" s="1647"/>
      <c r="AP2" s="1647"/>
      <c r="AQ2" s="1647"/>
      <c r="AR2" s="1647"/>
      <c r="AS2" s="1647"/>
      <c r="AT2" s="1647"/>
      <c r="AU2" s="1616"/>
      <c r="AV2" s="1617"/>
      <c r="AW2" s="1617"/>
      <c r="AX2" s="1617"/>
      <c r="AY2" s="1617"/>
      <c r="AZ2" s="1617">
        <v>2010</v>
      </c>
      <c r="BA2" s="1617"/>
      <c r="BB2" s="1617"/>
      <c r="BC2" s="1617"/>
      <c r="BD2" s="1617"/>
      <c r="BE2" s="1617"/>
      <c r="BF2" s="1618"/>
      <c r="BG2" s="1619"/>
      <c r="BH2" s="1620"/>
      <c r="BI2" s="1620"/>
      <c r="BJ2" s="1620"/>
      <c r="BK2" s="1620"/>
      <c r="BL2" s="1620">
        <v>2011</v>
      </c>
      <c r="BM2" s="1620"/>
      <c r="BN2" s="1620"/>
      <c r="BO2" s="1620"/>
      <c r="BP2" s="1620"/>
      <c r="BQ2" s="1620"/>
      <c r="BR2" s="1621"/>
      <c r="BS2" s="1622"/>
      <c r="BT2" s="1623"/>
      <c r="BU2" s="1623"/>
      <c r="BV2" s="1623"/>
      <c r="BW2" s="1623"/>
      <c r="BX2" s="1623">
        <v>2012</v>
      </c>
      <c r="BY2" s="1623"/>
      <c r="BZ2" s="1623"/>
      <c r="CA2" s="1623"/>
      <c r="CB2" s="1623"/>
      <c r="CC2" s="1623"/>
      <c r="CD2" s="1624"/>
      <c r="CE2" s="1625"/>
      <c r="CF2" s="1626"/>
      <c r="CG2" s="1626"/>
      <c r="CH2" s="1626"/>
      <c r="CI2" s="1626"/>
      <c r="CJ2" s="1626">
        <v>2013</v>
      </c>
      <c r="CK2" s="1626"/>
      <c r="CL2" s="1626"/>
      <c r="CM2" s="1626"/>
      <c r="CN2" s="1626"/>
      <c r="CO2" s="1626"/>
      <c r="CP2" s="1627"/>
      <c r="CQ2" s="1648">
        <v>2014</v>
      </c>
      <c r="CR2" s="1649"/>
      <c r="CS2" s="1650"/>
      <c r="CT2" s="1650"/>
      <c r="CU2" s="1650"/>
      <c r="CV2" s="1650"/>
      <c r="CW2" s="1650"/>
      <c r="CX2" s="1650"/>
      <c r="CY2" s="1650"/>
      <c r="CZ2" s="1651"/>
      <c r="DA2" s="1651"/>
      <c r="DB2" s="1652"/>
      <c r="DC2" s="1653">
        <v>2015</v>
      </c>
      <c r="DD2" s="1654"/>
      <c r="DE2" s="1654"/>
      <c r="DF2" s="1654"/>
      <c r="DG2" s="1654"/>
      <c r="DH2" s="1654"/>
      <c r="DI2" s="1654"/>
      <c r="DJ2" s="1654"/>
      <c r="DK2" s="1654"/>
      <c r="DL2" s="1654"/>
      <c r="DM2" s="1654"/>
      <c r="DN2" s="1655"/>
      <c r="DO2" s="1656">
        <v>2016</v>
      </c>
      <c r="DP2" s="1657"/>
      <c r="DQ2" s="1657"/>
      <c r="DR2" s="1657"/>
      <c r="DS2" s="1657"/>
      <c r="DT2" s="1657"/>
      <c r="DU2" s="1657"/>
      <c r="DV2" s="1657"/>
      <c r="DW2" s="1657"/>
      <c r="DX2" s="1657"/>
      <c r="DY2" s="1657"/>
      <c r="DZ2" s="1657"/>
      <c r="EA2" s="1775">
        <v>2017</v>
      </c>
      <c r="EB2" s="1658"/>
      <c r="EC2" s="1659"/>
      <c r="ED2" s="1659"/>
      <c r="EE2" s="1659"/>
      <c r="EF2" s="1659"/>
      <c r="EG2" s="1659"/>
      <c r="EH2" s="1659"/>
      <c r="EI2" s="1659"/>
      <c r="EJ2" s="1659"/>
      <c r="EK2" s="1659"/>
      <c r="EL2" s="1659"/>
      <c r="EM2" s="1724">
        <v>2018</v>
      </c>
      <c r="EN2" s="1771"/>
      <c r="EO2" s="1771"/>
      <c r="EP2" s="1771"/>
      <c r="EQ2" s="1771"/>
      <c r="ER2" s="1771"/>
      <c r="ES2" s="1771"/>
      <c r="ET2" s="1771"/>
      <c r="EU2" s="1771"/>
      <c r="EV2" s="1771"/>
      <c r="EW2" s="1771"/>
      <c r="EX2" s="1771"/>
      <c r="EY2" s="1726">
        <v>2019</v>
      </c>
      <c r="EZ2" s="1660"/>
      <c r="FA2" s="1661">
        <v>2006</v>
      </c>
      <c r="FB2" s="1661">
        <v>2007</v>
      </c>
      <c r="FC2" s="1661">
        <v>2008</v>
      </c>
      <c r="FD2" s="1661">
        <v>2009</v>
      </c>
      <c r="FE2" s="1661">
        <v>2010</v>
      </c>
      <c r="FF2" s="1661">
        <v>2011</v>
      </c>
      <c r="FG2" s="1661">
        <v>2012</v>
      </c>
      <c r="FH2" s="1661">
        <v>2013</v>
      </c>
      <c r="FI2" s="1661">
        <v>2014</v>
      </c>
      <c r="FJ2" s="1661">
        <v>2015</v>
      </c>
      <c r="FK2" s="1661">
        <v>2016</v>
      </c>
      <c r="FL2" s="1662" t="s">
        <v>578</v>
      </c>
      <c r="FM2" s="1663" t="s">
        <v>813</v>
      </c>
      <c r="FN2" s="1663" t="s">
        <v>868</v>
      </c>
    </row>
    <row r="3" spans="1:245" s="51" customFormat="1" ht="14.4" thickBot="1">
      <c r="A3" s="157"/>
      <c r="B3" s="564" t="s">
        <v>148</v>
      </c>
      <c r="C3" s="565"/>
      <c r="D3" s="1664" t="s">
        <v>41</v>
      </c>
      <c r="E3" s="1664" t="s">
        <v>42</v>
      </c>
      <c r="F3" s="1664" t="s">
        <v>43</v>
      </c>
      <c r="G3" s="1665" t="s">
        <v>44</v>
      </c>
      <c r="H3" s="1665" t="s">
        <v>45</v>
      </c>
      <c r="I3" s="1665" t="s">
        <v>46</v>
      </c>
      <c r="J3" s="1666" t="s">
        <v>47</v>
      </c>
      <c r="K3" s="1667" t="s">
        <v>36</v>
      </c>
      <c r="L3" s="1668" t="s">
        <v>37</v>
      </c>
      <c r="M3" s="1668" t="s">
        <v>38</v>
      </c>
      <c r="N3" s="1668" t="s">
        <v>39</v>
      </c>
      <c r="O3" s="1668" t="s">
        <v>40</v>
      </c>
      <c r="P3" s="1668" t="s">
        <v>41</v>
      </c>
      <c r="Q3" s="1668" t="s">
        <v>42</v>
      </c>
      <c r="R3" s="1668" t="s">
        <v>43</v>
      </c>
      <c r="S3" s="1668" t="s">
        <v>44</v>
      </c>
      <c r="T3" s="1668" t="s">
        <v>45</v>
      </c>
      <c r="U3" s="1668" t="s">
        <v>46</v>
      </c>
      <c r="V3" s="1669" t="s">
        <v>47</v>
      </c>
      <c r="W3" s="1670" t="s">
        <v>36</v>
      </c>
      <c r="X3" s="1665" t="s">
        <v>37</v>
      </c>
      <c r="Y3" s="1665" t="s">
        <v>38</v>
      </c>
      <c r="Z3" s="1665" t="s">
        <v>39</v>
      </c>
      <c r="AA3" s="1665" t="s">
        <v>40</v>
      </c>
      <c r="AB3" s="1665" t="s">
        <v>41</v>
      </c>
      <c r="AC3" s="1665" t="s">
        <v>42</v>
      </c>
      <c r="AD3" s="1665" t="s">
        <v>43</v>
      </c>
      <c r="AE3" s="1665" t="s">
        <v>44</v>
      </c>
      <c r="AF3" s="1665" t="s">
        <v>45</v>
      </c>
      <c r="AG3" s="1665" t="s">
        <v>46</v>
      </c>
      <c r="AH3" s="1666" t="s">
        <v>47</v>
      </c>
      <c r="AI3" s="1671" t="s">
        <v>36</v>
      </c>
      <c r="AJ3" s="1671" t="s">
        <v>37</v>
      </c>
      <c r="AK3" s="1671" t="s">
        <v>38</v>
      </c>
      <c r="AL3" s="1671" t="s">
        <v>39</v>
      </c>
      <c r="AM3" s="1671" t="s">
        <v>40</v>
      </c>
      <c r="AN3" s="1671" t="s">
        <v>41</v>
      </c>
      <c r="AO3" s="1671" t="s">
        <v>42</v>
      </c>
      <c r="AP3" s="1671" t="s">
        <v>43</v>
      </c>
      <c r="AQ3" s="1671" t="s">
        <v>44</v>
      </c>
      <c r="AR3" s="1671" t="s">
        <v>45</v>
      </c>
      <c r="AS3" s="1671" t="s">
        <v>46</v>
      </c>
      <c r="AT3" s="1671" t="s">
        <v>47</v>
      </c>
      <c r="AU3" s="1672" t="s">
        <v>36</v>
      </c>
      <c r="AV3" s="1673" t="s">
        <v>37</v>
      </c>
      <c r="AW3" s="1673" t="s">
        <v>38</v>
      </c>
      <c r="AX3" s="1673" t="s">
        <v>39</v>
      </c>
      <c r="AY3" s="1673" t="s">
        <v>40</v>
      </c>
      <c r="AZ3" s="1673" t="s">
        <v>41</v>
      </c>
      <c r="BA3" s="1673" t="s">
        <v>42</v>
      </c>
      <c r="BB3" s="1673" t="s">
        <v>43</v>
      </c>
      <c r="BC3" s="1673" t="s">
        <v>44</v>
      </c>
      <c r="BD3" s="1673" t="s">
        <v>45</v>
      </c>
      <c r="BE3" s="1673" t="s">
        <v>46</v>
      </c>
      <c r="BF3" s="1674" t="s">
        <v>47</v>
      </c>
      <c r="BG3" s="1675" t="s">
        <v>36</v>
      </c>
      <c r="BH3" s="1676" t="s">
        <v>37</v>
      </c>
      <c r="BI3" s="1676" t="s">
        <v>38</v>
      </c>
      <c r="BJ3" s="1676" t="s">
        <v>39</v>
      </c>
      <c r="BK3" s="1676" t="s">
        <v>40</v>
      </c>
      <c r="BL3" s="1676" t="s">
        <v>41</v>
      </c>
      <c r="BM3" s="1676" t="s">
        <v>42</v>
      </c>
      <c r="BN3" s="1676" t="s">
        <v>43</v>
      </c>
      <c r="BO3" s="1676" t="s">
        <v>44</v>
      </c>
      <c r="BP3" s="1676" t="s">
        <v>45</v>
      </c>
      <c r="BQ3" s="1676" t="s">
        <v>46</v>
      </c>
      <c r="BR3" s="1677" t="s">
        <v>47</v>
      </c>
      <c r="BS3" s="1678" t="s">
        <v>36</v>
      </c>
      <c r="BT3" s="1679" t="s">
        <v>37</v>
      </c>
      <c r="BU3" s="1679" t="s">
        <v>38</v>
      </c>
      <c r="BV3" s="1679" t="s">
        <v>39</v>
      </c>
      <c r="BW3" s="1679" t="s">
        <v>40</v>
      </c>
      <c r="BX3" s="1679" t="s">
        <v>41</v>
      </c>
      <c r="BY3" s="1679" t="s">
        <v>42</v>
      </c>
      <c r="BZ3" s="1679" t="s">
        <v>43</v>
      </c>
      <c r="CA3" s="1679" t="s">
        <v>44</v>
      </c>
      <c r="CB3" s="1679" t="s">
        <v>45</v>
      </c>
      <c r="CC3" s="1679" t="s">
        <v>46</v>
      </c>
      <c r="CD3" s="1680" t="s">
        <v>47</v>
      </c>
      <c r="CE3" s="1681" t="s">
        <v>36</v>
      </c>
      <c r="CF3" s="1682" t="s">
        <v>37</v>
      </c>
      <c r="CG3" s="1682" t="s">
        <v>38</v>
      </c>
      <c r="CH3" s="1682" t="s">
        <v>39</v>
      </c>
      <c r="CI3" s="1682" t="s">
        <v>40</v>
      </c>
      <c r="CJ3" s="1682" t="s">
        <v>41</v>
      </c>
      <c r="CK3" s="1682" t="s">
        <v>42</v>
      </c>
      <c r="CL3" s="1682" t="s">
        <v>43</v>
      </c>
      <c r="CM3" s="1682" t="s">
        <v>44</v>
      </c>
      <c r="CN3" s="1682" t="s">
        <v>45</v>
      </c>
      <c r="CO3" s="1682" t="s">
        <v>46</v>
      </c>
      <c r="CP3" s="1683" t="s">
        <v>47</v>
      </c>
      <c r="CQ3" s="1684" t="s">
        <v>36</v>
      </c>
      <c r="CR3" s="1685" t="s">
        <v>37</v>
      </c>
      <c r="CS3" s="1686" t="s">
        <v>38</v>
      </c>
      <c r="CT3" s="1686" t="s">
        <v>39</v>
      </c>
      <c r="CU3" s="1686" t="s">
        <v>40</v>
      </c>
      <c r="CV3" s="1686" t="s">
        <v>41</v>
      </c>
      <c r="CW3" s="1686" t="s">
        <v>42</v>
      </c>
      <c r="CX3" s="1686" t="s">
        <v>43</v>
      </c>
      <c r="CY3" s="1686" t="s">
        <v>44</v>
      </c>
      <c r="CZ3" s="1686" t="s">
        <v>45</v>
      </c>
      <c r="DA3" s="1686" t="s">
        <v>46</v>
      </c>
      <c r="DB3" s="1687" t="s">
        <v>47</v>
      </c>
      <c r="DC3" s="1688" t="s">
        <v>36</v>
      </c>
      <c r="DD3" s="1689" t="s">
        <v>37</v>
      </c>
      <c r="DE3" s="1689" t="s">
        <v>38</v>
      </c>
      <c r="DF3" s="1689" t="s">
        <v>39</v>
      </c>
      <c r="DG3" s="1689" t="s">
        <v>40</v>
      </c>
      <c r="DH3" s="1690" t="s">
        <v>41</v>
      </c>
      <c r="DI3" s="1690" t="s">
        <v>42</v>
      </c>
      <c r="DJ3" s="1690" t="s">
        <v>43</v>
      </c>
      <c r="DK3" s="1690" t="s">
        <v>44</v>
      </c>
      <c r="DL3" s="1690" t="s">
        <v>45</v>
      </c>
      <c r="DM3" s="1690" t="s">
        <v>46</v>
      </c>
      <c r="DN3" s="1691" t="s">
        <v>47</v>
      </c>
      <c r="DO3" s="1688" t="s">
        <v>36</v>
      </c>
      <c r="DP3" s="1689" t="s">
        <v>37</v>
      </c>
      <c r="DQ3" s="1689" t="s">
        <v>38</v>
      </c>
      <c r="DR3" s="1689" t="s">
        <v>39</v>
      </c>
      <c r="DS3" s="1689" t="s">
        <v>40</v>
      </c>
      <c r="DT3" s="1690" t="s">
        <v>41</v>
      </c>
      <c r="DU3" s="1690" t="s">
        <v>42</v>
      </c>
      <c r="DV3" s="1690" t="s">
        <v>43</v>
      </c>
      <c r="DW3" s="1690" t="s">
        <v>44</v>
      </c>
      <c r="DX3" s="1690" t="s">
        <v>184</v>
      </c>
      <c r="DY3" s="1690" t="s">
        <v>46</v>
      </c>
      <c r="DZ3" s="1690" t="s">
        <v>47</v>
      </c>
      <c r="EA3" s="1776" t="s">
        <v>36</v>
      </c>
      <c r="EB3" s="1690" t="s">
        <v>37</v>
      </c>
      <c r="EC3" s="1720" t="s">
        <v>38</v>
      </c>
      <c r="ED3" s="1720" t="s">
        <v>39</v>
      </c>
      <c r="EE3" s="1720" t="s">
        <v>40</v>
      </c>
      <c r="EF3" s="1720" t="s">
        <v>41</v>
      </c>
      <c r="EG3" s="1720" t="s">
        <v>42</v>
      </c>
      <c r="EH3" s="1720" t="s">
        <v>43</v>
      </c>
      <c r="EI3" s="1720" t="s">
        <v>44</v>
      </c>
      <c r="EJ3" s="1720" t="s">
        <v>45</v>
      </c>
      <c r="EK3" s="1720" t="s">
        <v>46</v>
      </c>
      <c r="EL3" s="1720" t="s">
        <v>47</v>
      </c>
      <c r="EM3" s="1723" t="s">
        <v>36</v>
      </c>
      <c r="EN3" s="1721" t="s">
        <v>37</v>
      </c>
      <c r="EO3" s="1720" t="s">
        <v>38</v>
      </c>
      <c r="EP3" s="1720" t="s">
        <v>39</v>
      </c>
      <c r="EQ3" s="1720" t="s">
        <v>40</v>
      </c>
      <c r="ER3" s="1720" t="s">
        <v>41</v>
      </c>
      <c r="ES3" s="1720" t="s">
        <v>42</v>
      </c>
      <c r="ET3" s="1720" t="s">
        <v>43</v>
      </c>
      <c r="EU3" s="1720" t="s">
        <v>44</v>
      </c>
      <c r="EV3" s="1720" t="s">
        <v>45</v>
      </c>
      <c r="EW3" s="1720" t="s">
        <v>46</v>
      </c>
      <c r="EX3" s="1720" t="s">
        <v>47</v>
      </c>
      <c r="EY3" s="1722" t="s">
        <v>36</v>
      </c>
      <c r="EZ3" s="566"/>
      <c r="FA3" s="567" t="s">
        <v>149</v>
      </c>
      <c r="FB3" s="567" t="s">
        <v>48</v>
      </c>
      <c r="FC3" s="567" t="s">
        <v>48</v>
      </c>
      <c r="FD3" s="567" t="s">
        <v>48</v>
      </c>
      <c r="FE3" s="567" t="s">
        <v>48</v>
      </c>
      <c r="FF3" s="567" t="s">
        <v>48</v>
      </c>
      <c r="FG3" s="567" t="s">
        <v>48</v>
      </c>
      <c r="FH3" s="567" t="s">
        <v>48</v>
      </c>
      <c r="FI3" s="567" t="s">
        <v>48</v>
      </c>
      <c r="FJ3" s="567" t="s">
        <v>48</v>
      </c>
      <c r="FK3" s="567" t="s">
        <v>48</v>
      </c>
      <c r="FL3" s="573" t="s">
        <v>576</v>
      </c>
      <c r="FM3" s="1614" t="s">
        <v>576</v>
      </c>
      <c r="FN3" s="1614" t="s">
        <v>576</v>
      </c>
      <c r="GI3" s="158"/>
      <c r="GJ3" s="158"/>
      <c r="GK3" s="158"/>
    </row>
    <row r="4" spans="1:245" ht="14.4" thickBot="1">
      <c r="A4" s="1692"/>
      <c r="B4" s="1693"/>
      <c r="C4" s="1694" t="s">
        <v>32</v>
      </c>
      <c r="D4" s="1695">
        <v>23.060772973509934</v>
      </c>
      <c r="E4" s="1695">
        <v>23.1781896947478</v>
      </c>
      <c r="F4" s="1695">
        <v>23.08074115188716</v>
      </c>
      <c r="G4" s="1695">
        <v>24.455241414345863</v>
      </c>
      <c r="H4" s="1695">
        <v>25.030611278150964</v>
      </c>
      <c r="I4" s="1695">
        <v>25.796187687687688</v>
      </c>
      <c r="J4" s="1696">
        <v>19.135151070464609</v>
      </c>
      <c r="K4" s="1697">
        <v>23.464971240755961</v>
      </c>
      <c r="L4" s="1695">
        <v>24.724818163139517</v>
      </c>
      <c r="M4" s="1695">
        <v>25.54286683107275</v>
      </c>
      <c r="N4" s="1695">
        <v>24.308234689683509</v>
      </c>
      <c r="O4" s="1695">
        <v>24.452591450883684</v>
      </c>
      <c r="P4" s="1695">
        <v>28.211313193588165</v>
      </c>
      <c r="Q4" s="1695">
        <v>27.369103476316322</v>
      </c>
      <c r="R4" s="1695">
        <v>26.165411430887719</v>
      </c>
      <c r="S4" s="1695">
        <v>27.659391850800741</v>
      </c>
      <c r="T4" s="1695">
        <v>27.72550780458139</v>
      </c>
      <c r="U4" s="1695">
        <v>29.463336035670871</v>
      </c>
      <c r="V4" s="1696">
        <v>21.295787953795376</v>
      </c>
      <c r="W4" s="1697">
        <v>24.0320510708402</v>
      </c>
      <c r="X4" s="1695">
        <v>28.641027369281034</v>
      </c>
      <c r="Y4" s="1695">
        <v>26.815120506535941</v>
      </c>
      <c r="Z4" s="1695">
        <v>29.055733251634017</v>
      </c>
      <c r="AA4" s="1695">
        <v>28.982830536225929</v>
      </c>
      <c r="AB4" s="1695">
        <v>31.156252558329911</v>
      </c>
      <c r="AC4" s="1695">
        <v>31.868219402374123</v>
      </c>
      <c r="AD4" s="1695">
        <v>29.768610315186248</v>
      </c>
      <c r="AE4" s="1695">
        <v>31.882566516577974</v>
      </c>
      <c r="AF4" s="1695">
        <v>32.303923092656987</v>
      </c>
      <c r="AG4" s="1695">
        <v>34.035334287466753</v>
      </c>
      <c r="AH4" s="1696">
        <v>26.165044953003672</v>
      </c>
      <c r="AI4" s="1698">
        <v>24.595185333600476</v>
      </c>
      <c r="AJ4" s="1698">
        <v>26.320523790483815</v>
      </c>
      <c r="AK4" s="1698">
        <v>28.273368787073018</v>
      </c>
      <c r="AL4" s="1698">
        <v>25.271174064225804</v>
      </c>
      <c r="AM4" s="1698">
        <v>25.045729442970817</v>
      </c>
      <c r="AN4" s="1698">
        <v>26.331070118222588</v>
      </c>
      <c r="AO4" s="1698">
        <v>27.586663269465951</v>
      </c>
      <c r="AP4" s="1698">
        <v>28.203305937949455</v>
      </c>
      <c r="AQ4" s="1698">
        <v>27.043379211175019</v>
      </c>
      <c r="AR4" s="1698">
        <v>29.134449672667763</v>
      </c>
      <c r="AS4" s="1698">
        <v>29.963187397708676</v>
      </c>
      <c r="AT4" s="1698">
        <v>23.120124769891582</v>
      </c>
      <c r="AU4" s="1699">
        <v>25.464977086918427</v>
      </c>
      <c r="AV4" s="1700">
        <v>30.979174917491761</v>
      </c>
      <c r="AW4" s="1700">
        <v>30.665536788973025</v>
      </c>
      <c r="AX4" s="1700">
        <v>28.292234022011957</v>
      </c>
      <c r="AY4" s="1700">
        <v>29.596329407221479</v>
      </c>
      <c r="AZ4" s="1700">
        <v>30.328354894767326</v>
      </c>
      <c r="BA4" s="1700">
        <v>30.468107742807479</v>
      </c>
      <c r="BB4" s="1700">
        <v>29.335865997296757</v>
      </c>
      <c r="BC4" s="1700">
        <v>28.582195404518242</v>
      </c>
      <c r="BD4" s="1700">
        <v>32.406043637767915</v>
      </c>
      <c r="BE4" s="1700">
        <v>31.57161421123768</v>
      </c>
      <c r="BF4" s="1701">
        <v>28.901778335586027</v>
      </c>
      <c r="BG4" s="1702">
        <v>26.758179185170881</v>
      </c>
      <c r="BH4" s="1703">
        <v>32.939839737401044</v>
      </c>
      <c r="BI4" s="1703">
        <v>32.388356825642013</v>
      </c>
      <c r="BJ4" s="1703">
        <v>28.707041899980705</v>
      </c>
      <c r="BK4" s="1703">
        <v>30.018007337323809</v>
      </c>
      <c r="BL4" s="1703">
        <v>31.262817146167208</v>
      </c>
      <c r="BM4" s="1703">
        <v>32.068968912917555</v>
      </c>
      <c r="BN4" s="1703">
        <v>32.102488897470558</v>
      </c>
      <c r="BO4" s="1703">
        <v>32.338210079165847</v>
      </c>
      <c r="BP4" s="1703">
        <v>33.514801305432897</v>
      </c>
      <c r="BQ4" s="1703">
        <v>39.294993280860048</v>
      </c>
      <c r="BR4" s="1704">
        <v>31.95689767709732</v>
      </c>
      <c r="BS4" s="1705">
        <v>34.30469955845652</v>
      </c>
      <c r="BT4" s="1706">
        <v>37.820005759262827</v>
      </c>
      <c r="BU4" s="1706">
        <v>40.648878863505495</v>
      </c>
      <c r="BV4" s="1706">
        <v>36.633033211748902</v>
      </c>
      <c r="BW4" s="1706">
        <v>37.972658053807656</v>
      </c>
      <c r="BX4" s="1706">
        <v>40.748262027001324</v>
      </c>
      <c r="BY4" s="1706">
        <v>38.095198038476063</v>
      </c>
      <c r="BZ4" s="1706">
        <v>37.279453036589977</v>
      </c>
      <c r="CA4" s="1706">
        <v>38.32809694454923</v>
      </c>
      <c r="CB4" s="1706">
        <v>40.439628442097337</v>
      </c>
      <c r="CC4" s="1706">
        <v>44.503198792908336</v>
      </c>
      <c r="CD4" s="1707">
        <v>34.527600905318742</v>
      </c>
      <c r="CE4" s="1705">
        <v>37.120479064503954</v>
      </c>
      <c r="CF4" s="1706">
        <v>45.53382308562805</v>
      </c>
      <c r="CG4" s="1706">
        <v>50.571961523953235</v>
      </c>
      <c r="CH4" s="1706">
        <v>37.469941531497554</v>
      </c>
      <c r="CI4" s="1706">
        <v>38.46745944926441</v>
      </c>
      <c r="CJ4" s="1706">
        <v>41.452355714824598</v>
      </c>
      <c r="CK4" s="1706">
        <v>41.399796303281796</v>
      </c>
      <c r="CL4" s="1706">
        <v>37.963738822652758</v>
      </c>
      <c r="CM4" s="1706">
        <v>42.893820789865877</v>
      </c>
      <c r="CN4" s="1706">
        <v>41.92702123695976</v>
      </c>
      <c r="CO4" s="1706">
        <v>44.328079359165415</v>
      </c>
      <c r="CP4" s="1707">
        <v>34.333057004470916</v>
      </c>
      <c r="CQ4" s="1708">
        <v>37.953165052160962</v>
      </c>
      <c r="CR4" s="1709">
        <v>47.686626304023861</v>
      </c>
      <c r="CS4" s="1709">
        <v>43.072304519032443</v>
      </c>
      <c r="CT4" s="1709">
        <v>41.450525131282824</v>
      </c>
      <c r="CU4" s="1709">
        <v>40.093342085521364</v>
      </c>
      <c r="CV4" s="1709">
        <v>39.84246061515379</v>
      </c>
      <c r="CW4" s="1709">
        <v>42.72</v>
      </c>
      <c r="CX4" s="1709">
        <v>40.92895180948809</v>
      </c>
      <c r="CY4" s="1709">
        <v>46.331953549353813</v>
      </c>
      <c r="CZ4" s="1709">
        <v>44.331766248361113</v>
      </c>
      <c r="DA4" s="1709">
        <v>48.645898539872697</v>
      </c>
      <c r="DB4" s="1710">
        <v>37.623448146761497</v>
      </c>
      <c r="DC4" s="1711">
        <v>39.07872519655561</v>
      </c>
      <c r="DD4" s="1695">
        <v>39.194721078247845</v>
      </c>
      <c r="DE4" s="1695">
        <v>43.579614376637949</v>
      </c>
      <c r="DF4" s="1695">
        <v>40.136302882815428</v>
      </c>
      <c r="DG4" s="1695">
        <v>41.028940471733428</v>
      </c>
      <c r="DH4" s="1695">
        <v>41.490192775594238</v>
      </c>
      <c r="DI4" s="1695">
        <v>40.795545573647765</v>
      </c>
      <c r="DJ4" s="1695">
        <v>35.1780330358838</v>
      </c>
      <c r="DK4" s="1695">
        <v>36.523030187962789</v>
      </c>
      <c r="DL4" s="1695">
        <v>39.77643820011393</v>
      </c>
      <c r="DM4" s="1695">
        <v>40.83435839028094</v>
      </c>
      <c r="DN4" s="1712">
        <v>30.795355450236968</v>
      </c>
      <c r="DO4" s="1711">
        <v>30.90305229852969</v>
      </c>
      <c r="DP4" s="1695">
        <v>33.854531918853525</v>
      </c>
      <c r="DQ4" s="1695">
        <v>34.20158198399406</v>
      </c>
      <c r="DR4" s="1695">
        <v>34.207593523171411</v>
      </c>
      <c r="DS4" s="1695">
        <v>32.515559277870835</v>
      </c>
      <c r="DT4" s="1695">
        <v>36.128270984552394</v>
      </c>
      <c r="DU4" s="1695">
        <v>33.486916061790431</v>
      </c>
      <c r="DV4" s="1695">
        <v>33.155611390284768</v>
      </c>
      <c r="DW4" s="1695">
        <v>34.732793597617722</v>
      </c>
      <c r="DX4" s="1695">
        <v>54.906846511627897</v>
      </c>
      <c r="DY4" s="1695">
        <v>35.869030336869535</v>
      </c>
      <c r="DZ4" s="1695">
        <v>28.069086171598748</v>
      </c>
      <c r="EA4" s="1711">
        <v>31.310183956002284</v>
      </c>
      <c r="EB4" s="1695">
        <v>35.703394652000753</v>
      </c>
      <c r="EC4" s="1713"/>
      <c r="ED4" s="1713"/>
      <c r="EE4" s="1713"/>
      <c r="EF4" s="1713"/>
      <c r="EG4" s="1713"/>
      <c r="EH4" s="1713"/>
      <c r="EI4" s="1713"/>
      <c r="EJ4" s="1713"/>
      <c r="EK4" s="1713"/>
      <c r="EL4" s="1713"/>
      <c r="EM4" s="1725"/>
      <c r="EN4" s="1772"/>
      <c r="EO4" s="1772"/>
      <c r="EP4" s="1772"/>
      <c r="EQ4" s="1772"/>
      <c r="ER4" s="1772"/>
      <c r="ES4" s="1772"/>
      <c r="ET4" s="1772"/>
      <c r="EU4" s="1772"/>
      <c r="EV4" s="1772"/>
      <c r="EW4" s="1772"/>
      <c r="EX4" s="1772"/>
      <c r="EY4" s="1727"/>
      <c r="EZ4" s="566"/>
      <c r="FA4" s="1714">
        <v>23.372746793996534</v>
      </c>
      <c r="FB4" s="1714">
        <v>25.869116141136971</v>
      </c>
      <c r="FC4" s="1714">
        <v>29.544555946458292</v>
      </c>
      <c r="FD4" s="1714">
        <v>26.734118218920994</v>
      </c>
      <c r="FE4" s="1714">
        <v>29.70919481210553</v>
      </c>
      <c r="FF4" s="1714">
        <v>31.931546736957173</v>
      </c>
      <c r="FG4" s="1714">
        <v>38.432941346668819</v>
      </c>
      <c r="FH4" s="1714">
        <v>41.07665565909705</v>
      </c>
      <c r="FI4" s="1714">
        <v>42.556703500084367</v>
      </c>
      <c r="FJ4" s="1714">
        <v>39.038581514153336</v>
      </c>
      <c r="FK4" s="1714">
        <v>35.169239504730086</v>
      </c>
      <c r="FL4" s="1715">
        <v>35.357239037281737</v>
      </c>
      <c r="FM4" s="1716">
        <v>33</v>
      </c>
      <c r="FN4" s="1716">
        <v>34</v>
      </c>
      <c r="FO4" s="1545"/>
      <c r="FP4" s="1545"/>
      <c r="FQ4" s="1545"/>
      <c r="FR4" s="1545"/>
      <c r="FS4" s="1545"/>
      <c r="FT4" s="1545"/>
      <c r="FU4" s="1545"/>
      <c r="FV4" s="1545"/>
      <c r="FW4" s="1545"/>
      <c r="FX4" s="1546"/>
      <c r="FY4" s="1546"/>
      <c r="FZ4" s="1546"/>
      <c r="GA4" s="1546"/>
      <c r="GB4" s="1546"/>
      <c r="GC4" s="1546"/>
      <c r="GD4" s="1546"/>
      <c r="GE4" s="1546"/>
      <c r="GF4" s="1546"/>
      <c r="GG4" s="1546"/>
      <c r="GH4" s="1546"/>
      <c r="GL4" s="1545"/>
      <c r="GM4" s="1546"/>
      <c r="GN4" s="1546"/>
      <c r="GO4" s="1546"/>
      <c r="GP4" s="1546"/>
      <c r="GQ4" s="1546"/>
      <c r="GR4" s="1546"/>
      <c r="GS4" s="1546"/>
      <c r="GT4" s="1546"/>
      <c r="GU4" s="1546"/>
      <c r="GV4" s="1546"/>
      <c r="GW4" s="1546"/>
      <c r="GX4" s="1546"/>
      <c r="GY4" s="1546"/>
      <c r="GZ4" s="1546"/>
      <c r="HA4" s="1546"/>
      <c r="HB4" s="1546"/>
      <c r="HC4" s="1546"/>
      <c r="HD4" s="1546"/>
      <c r="HE4" s="1546"/>
      <c r="HF4" s="1546"/>
      <c r="HG4" s="1546"/>
      <c r="HH4" s="1546"/>
      <c r="HI4" s="1546"/>
      <c r="HJ4" s="1546"/>
      <c r="HK4" s="1546"/>
      <c r="HL4" s="1546"/>
      <c r="HM4" s="1546"/>
      <c r="HN4" s="1546"/>
      <c r="HO4" s="1546"/>
      <c r="HP4" s="1546"/>
      <c r="HQ4" s="1546"/>
      <c r="HR4" s="1546"/>
      <c r="HS4" s="1546"/>
      <c r="HT4" s="1546"/>
      <c r="HU4" s="1546"/>
      <c r="HV4" s="1546"/>
      <c r="HW4" s="1546"/>
      <c r="HX4" s="1546"/>
      <c r="HY4" s="1546"/>
      <c r="HZ4" s="1546"/>
      <c r="IA4" s="1546"/>
      <c r="IB4" s="1546"/>
      <c r="IC4" s="1546"/>
      <c r="ID4" s="1546"/>
      <c r="IE4" s="1546"/>
      <c r="IF4" s="1546"/>
      <c r="IG4" s="1546"/>
      <c r="IH4" s="1546"/>
      <c r="II4" s="1546"/>
      <c r="IJ4" s="1546"/>
      <c r="IK4" s="1546"/>
    </row>
    <row r="5" spans="1:245">
      <c r="A5" s="157"/>
      <c r="B5" s="1498" t="s">
        <v>1072</v>
      </c>
      <c r="C5" s="1728"/>
      <c r="D5" s="1729">
        <v>47.679746816948445</v>
      </c>
      <c r="E5" s="1729">
        <v>49.785466561762391</v>
      </c>
      <c r="F5" s="1729">
        <v>47.654692613370727</v>
      </c>
      <c r="G5" s="1729">
        <v>52.667835915772741</v>
      </c>
      <c r="H5" s="1729">
        <v>52.362469968956667</v>
      </c>
      <c r="I5" s="1729">
        <v>54.020690775054796</v>
      </c>
      <c r="J5" s="1730">
        <v>38.279392325145508</v>
      </c>
      <c r="K5" s="1731">
        <v>50.032098360655738</v>
      </c>
      <c r="L5" s="1732">
        <v>51.395111801242237</v>
      </c>
      <c r="M5" s="1732">
        <v>54.527354037267081</v>
      </c>
      <c r="N5" s="1732">
        <v>50.743149068322985</v>
      </c>
      <c r="O5" s="1732">
        <v>49.945372670807451</v>
      </c>
      <c r="P5" s="1732">
        <v>60.3105900621118</v>
      </c>
      <c r="Q5" s="1732">
        <v>55.721690734055358</v>
      </c>
      <c r="R5" s="1732">
        <v>52.353605970149253</v>
      </c>
      <c r="S5" s="1732">
        <v>58.464119402985069</v>
      </c>
      <c r="T5" s="1732">
        <v>56.438005970149256</v>
      </c>
      <c r="U5" s="1732">
        <v>59.924847761194023</v>
      </c>
      <c r="V5" s="1733">
        <v>42.192817610062889</v>
      </c>
      <c r="W5" s="1734">
        <v>48.616213836477989</v>
      </c>
      <c r="X5" s="1729">
        <v>60.675938650306747</v>
      </c>
      <c r="Y5" s="1729">
        <v>54.881018404907969</v>
      </c>
      <c r="Z5" s="1729">
        <v>60.654920245398777</v>
      </c>
      <c r="AA5" s="1729">
        <v>60.215638820638823</v>
      </c>
      <c r="AB5" s="1729">
        <v>65.371375921375929</v>
      </c>
      <c r="AC5" s="1729">
        <v>65.608409090909092</v>
      </c>
      <c r="AD5" s="1729">
        <v>60.969858722358723</v>
      </c>
      <c r="AE5" s="1729">
        <v>66.789895577395583</v>
      </c>
      <c r="AF5" s="1729">
        <v>67.991038083538086</v>
      </c>
      <c r="AG5" s="1729">
        <v>71.770374692874697</v>
      </c>
      <c r="AH5" s="1730">
        <v>52.009883292383286</v>
      </c>
      <c r="AI5" s="1735">
        <v>45.859829612220913</v>
      </c>
      <c r="AJ5" s="1735">
        <v>51.11854876615746</v>
      </c>
      <c r="AK5" s="1735">
        <v>59.243773234200752</v>
      </c>
      <c r="AL5" s="1735">
        <v>49.800161090458481</v>
      </c>
      <c r="AM5" s="1735">
        <v>48.093215613382903</v>
      </c>
      <c r="AN5" s="1735">
        <v>52.554182156133834</v>
      </c>
      <c r="AO5" s="1735">
        <v>54.0116935483871</v>
      </c>
      <c r="AP5" s="1735">
        <v>58.807139256458726</v>
      </c>
      <c r="AQ5" s="1735">
        <v>55.183919344675481</v>
      </c>
      <c r="AR5" s="1735">
        <v>61.085419029615629</v>
      </c>
      <c r="AS5" s="1735">
        <v>62.524725897920604</v>
      </c>
      <c r="AT5" s="1735">
        <v>43.734851921865157</v>
      </c>
      <c r="AU5" s="1736">
        <v>49.991906543988421</v>
      </c>
      <c r="AV5" s="1737">
        <v>63.223787396562699</v>
      </c>
      <c r="AW5" s="1737">
        <v>63.255143220878423</v>
      </c>
      <c r="AX5" s="1737">
        <v>55.447428389560791</v>
      </c>
      <c r="AY5" s="1737">
        <v>59.210509229789949</v>
      </c>
      <c r="AZ5" s="1737">
        <v>59.70238064926798</v>
      </c>
      <c r="BA5" s="1737">
        <v>59.176919159770847</v>
      </c>
      <c r="BB5" s="1737">
        <v>58.727625716104392</v>
      </c>
      <c r="BC5" s="1737">
        <v>56.816569064290256</v>
      </c>
      <c r="BD5" s="1737">
        <v>65.448561425843423</v>
      </c>
      <c r="BE5" s="1737">
        <v>61.837638446849141</v>
      </c>
      <c r="BF5" s="1738">
        <v>58.280082749840865</v>
      </c>
      <c r="BG5" s="1739">
        <v>53.010458306810946</v>
      </c>
      <c r="BH5" s="1740">
        <v>68.44998726925526</v>
      </c>
      <c r="BI5" s="1740">
        <v>67.345245066836412</v>
      </c>
      <c r="BJ5" s="1740">
        <v>55.148752387014632</v>
      </c>
      <c r="BK5" s="1740">
        <v>60.878376830044559</v>
      </c>
      <c r="BL5" s="1740">
        <v>63.59388287714831</v>
      </c>
      <c r="BM5" s="1740">
        <v>62.703176320814769</v>
      </c>
      <c r="BN5" s="1740">
        <v>63.681922342457035</v>
      </c>
      <c r="BO5" s="1740">
        <v>65.561998726925523</v>
      </c>
      <c r="BP5" s="1740">
        <v>66.139809038828773</v>
      </c>
      <c r="BQ5" s="1740">
        <v>82.360502864417569</v>
      </c>
      <c r="BR5" s="1741">
        <v>64.880070019096124</v>
      </c>
      <c r="BS5" s="1742">
        <v>69.957173774665819</v>
      </c>
      <c r="BT5" s="1743">
        <v>79.423761935073202</v>
      </c>
      <c r="BU5" s="1743">
        <v>86.889382558879689</v>
      </c>
      <c r="BV5" s="1743">
        <v>75.461623169955445</v>
      </c>
      <c r="BW5" s="1743">
        <v>76.529560789306174</v>
      </c>
      <c r="BX5" s="1743">
        <v>81.154626773596561</v>
      </c>
      <c r="BY5" s="1743">
        <v>73.017760641579272</v>
      </c>
      <c r="BZ5" s="1743">
        <v>72.183238741517584</v>
      </c>
      <c r="CA5" s="1743">
        <v>75.619858112276361</v>
      </c>
      <c r="CB5" s="1743">
        <v>81.079987661937068</v>
      </c>
      <c r="CC5" s="1743">
        <v>90.729265885256012</v>
      </c>
      <c r="CD5" s="1744">
        <v>70.501110425663171</v>
      </c>
      <c r="CE5" s="1745">
        <v>76.757686613201727</v>
      </c>
      <c r="CF5" s="1746">
        <v>94.689950647748304</v>
      </c>
      <c r="CG5" s="1746">
        <v>107.13884022208514</v>
      </c>
      <c r="CH5" s="1746">
        <v>70.057637260950031</v>
      </c>
      <c r="CI5" s="1746">
        <v>72.091363355953121</v>
      </c>
      <c r="CJ5" s="1746">
        <v>80.033528685996302</v>
      </c>
      <c r="CK5" s="1746">
        <v>77.883189389265866</v>
      </c>
      <c r="CL5" s="1746">
        <v>66.28036397285625</v>
      </c>
      <c r="CM5" s="1746">
        <v>80.029185687847004</v>
      </c>
      <c r="CN5" s="1746">
        <v>75.794867365823563</v>
      </c>
      <c r="CO5" s="1746">
        <v>80.479969154842692</v>
      </c>
      <c r="CP5" s="1747">
        <v>61.725508945095612</v>
      </c>
      <c r="CQ5" s="1748">
        <v>68.996952498457745</v>
      </c>
      <c r="CR5" s="1749">
        <v>90.012652683528685</v>
      </c>
      <c r="CS5" s="1749">
        <v>79.607402837754478</v>
      </c>
      <c r="CT5" s="1749">
        <v>78.20518198642813</v>
      </c>
      <c r="CU5" s="1749">
        <v>72.110857495373224</v>
      </c>
      <c r="CV5" s="1749">
        <v>71.305181986428124</v>
      </c>
      <c r="CW5" s="1749">
        <v>79.88</v>
      </c>
      <c r="CX5" s="1749">
        <v>72.157001850709435</v>
      </c>
      <c r="CY5" s="1749">
        <v>89.425416409623693</v>
      </c>
      <c r="CZ5" s="1749">
        <v>80.490746452806903</v>
      </c>
      <c r="DA5" s="1749">
        <v>90.818932757557064</v>
      </c>
      <c r="DB5" s="1750">
        <v>64.162837754472548</v>
      </c>
      <c r="DC5" s="1751">
        <v>72.552362739049968</v>
      </c>
      <c r="DD5" s="1752">
        <v>76.972424429364594</v>
      </c>
      <c r="DE5" s="1752">
        <v>79.760950030845152</v>
      </c>
      <c r="DF5" s="1752">
        <v>72.85033312769896</v>
      </c>
      <c r="DG5" s="1752">
        <v>77.61992597162245</v>
      </c>
      <c r="DH5" s="1752">
        <v>72.698766193707584</v>
      </c>
      <c r="DI5" s="1752">
        <v>72.189512646514501</v>
      </c>
      <c r="DJ5" s="1752">
        <v>62.62861576660459</v>
      </c>
      <c r="DK5" s="1752">
        <v>65.664556176288016</v>
      </c>
      <c r="DL5" s="1752">
        <v>73.581253879577901</v>
      </c>
      <c r="DM5" s="1752">
        <v>77.720049658597148</v>
      </c>
      <c r="DN5" s="1753">
        <v>51.636917339962707</v>
      </c>
      <c r="DO5" s="1754">
        <v>52.148213239601638</v>
      </c>
      <c r="DP5" s="1755">
        <v>62.262390158172231</v>
      </c>
      <c r="DQ5" s="1755">
        <v>60.431400117164614</v>
      </c>
      <c r="DR5" s="1755">
        <v>62.780374926772112</v>
      </c>
      <c r="DS5" s="1755">
        <v>60.835500878734628</v>
      </c>
      <c r="DT5" s="1755">
        <v>64.521148213239599</v>
      </c>
      <c r="DU5" s="1755">
        <v>58.689455184534268</v>
      </c>
      <c r="DV5" s="1755">
        <v>54.938605741066205</v>
      </c>
      <c r="DW5" s="1755">
        <v>61.232513181019335</v>
      </c>
      <c r="DX5" s="1755">
        <v>104.36502636203866</v>
      </c>
      <c r="DY5" s="1755">
        <v>67.923960164030461</v>
      </c>
      <c r="DZ5" s="1755">
        <v>47.208318687756297</v>
      </c>
      <c r="EA5" s="1777">
        <v>56.272682016179211</v>
      </c>
      <c r="EB5" s="1756">
        <v>65.911698817672686</v>
      </c>
      <c r="EC5" s="1757"/>
      <c r="ED5" s="1767">
        <v>60.4</v>
      </c>
      <c r="EE5" s="1767">
        <v>55.85</v>
      </c>
      <c r="EF5" s="1767">
        <v>59.81</v>
      </c>
      <c r="EG5" s="1767">
        <v>57.58</v>
      </c>
      <c r="EH5" s="1767">
        <v>55.13</v>
      </c>
      <c r="EI5" s="1767">
        <v>54.13</v>
      </c>
      <c r="EJ5" s="1767">
        <v>58.89</v>
      </c>
      <c r="EK5" s="1767">
        <v>63.49</v>
      </c>
      <c r="EL5" s="1767">
        <v>47.73</v>
      </c>
      <c r="EM5" s="1769">
        <v>50.89</v>
      </c>
      <c r="EN5" s="1767"/>
      <c r="EO5" s="1767"/>
      <c r="EP5" s="1767">
        <v>69.37</v>
      </c>
      <c r="EQ5" s="1767">
        <v>61.17</v>
      </c>
      <c r="ER5" s="1767">
        <v>57.58</v>
      </c>
      <c r="ES5" s="1767">
        <v>60.46</v>
      </c>
      <c r="ET5" s="1767">
        <v>55.47</v>
      </c>
      <c r="EU5" s="1767">
        <v>66.459999999999994</v>
      </c>
      <c r="EV5" s="1767">
        <v>68.3</v>
      </c>
      <c r="EW5" s="1767">
        <v>69.61</v>
      </c>
      <c r="EX5" s="1767">
        <v>48.88</v>
      </c>
      <c r="EY5" s="1769">
        <v>53.69</v>
      </c>
      <c r="EZ5" s="1759"/>
      <c r="FA5" s="1760">
        <v>48.929942462991697</v>
      </c>
      <c r="FB5" s="1761">
        <v>53.556042913642351</v>
      </c>
      <c r="FC5" s="1761">
        <v>61.270826662183765</v>
      </c>
      <c r="FD5" s="1761">
        <v>53.439986070370047</v>
      </c>
      <c r="FE5" s="1761">
        <v>59.241583621106351</v>
      </c>
      <c r="FF5" s="1761">
        <v>64.422916561303751</v>
      </c>
      <c r="FG5" s="1761">
        <v>77.670165122608381</v>
      </c>
      <c r="FH5" s="1761">
        <v>78.457957966078766</v>
      </c>
      <c r="FI5" s="1760">
        <v>78.09776372609501</v>
      </c>
      <c r="FJ5" s="1760">
        <v>71.281825096216892</v>
      </c>
      <c r="FK5" s="1760">
        <v>63.111408904510832</v>
      </c>
      <c r="FL5" s="1762">
        <v>63.759223690850689</v>
      </c>
      <c r="FM5" s="1763">
        <f>AVERAGE(EM5:EX5)</f>
        <v>60.818999999999996</v>
      </c>
      <c r="FN5" s="1763">
        <f>AVERAGE(EN5:EY5)</f>
        <v>61.099000000000004</v>
      </c>
      <c r="FO5" s="1717"/>
      <c r="FP5" s="1717"/>
      <c r="FQ5" s="1717"/>
      <c r="FR5" s="1717"/>
      <c r="FS5" s="1717"/>
      <c r="FT5" s="1717"/>
      <c r="FU5" s="1717"/>
      <c r="FV5" s="1717"/>
      <c r="FW5" s="1717"/>
      <c r="FX5" s="1718"/>
      <c r="FY5" s="1718"/>
      <c r="FZ5" s="1718"/>
      <c r="GA5" s="1718"/>
      <c r="GB5" s="1718"/>
      <c r="GC5" s="1718"/>
      <c r="GD5" s="1718"/>
      <c r="GE5" s="1718"/>
      <c r="GF5" s="1718"/>
      <c r="GG5" s="1718"/>
      <c r="GH5" s="1718"/>
      <c r="GI5" s="158"/>
      <c r="GJ5" s="158"/>
      <c r="GK5" s="158"/>
      <c r="GL5" s="1717"/>
      <c r="GM5" s="1718"/>
      <c r="GN5" s="1718"/>
      <c r="GO5" s="1718"/>
      <c r="GP5" s="1718"/>
      <c r="GQ5" s="1718"/>
      <c r="GR5" s="1718"/>
      <c r="GS5" s="1718"/>
      <c r="GT5" s="1718"/>
      <c r="GU5" s="1718"/>
      <c r="GV5" s="1718"/>
      <c r="GW5" s="1718"/>
      <c r="GX5" s="1718"/>
      <c r="GY5" s="1718"/>
      <c r="GZ5" s="1718"/>
      <c r="HA5" s="1718"/>
      <c r="HB5" s="1718"/>
      <c r="HC5" s="1718"/>
      <c r="HD5" s="1718"/>
      <c r="HE5" s="1718"/>
      <c r="HF5" s="1718"/>
      <c r="HG5" s="1718"/>
      <c r="HH5" s="1718"/>
      <c r="HI5" s="1718"/>
      <c r="HJ5" s="1718"/>
      <c r="HK5" s="1718"/>
      <c r="HL5" s="1718"/>
      <c r="HM5" s="1718"/>
      <c r="HN5" s="1718"/>
      <c r="HO5" s="1718"/>
      <c r="HP5" s="1718"/>
      <c r="HQ5" s="1718"/>
      <c r="HR5" s="1718"/>
      <c r="HS5" s="1718"/>
      <c r="HT5" s="1718"/>
      <c r="HU5" s="1718"/>
      <c r="HV5" s="1718"/>
      <c r="HW5" s="1718"/>
      <c r="HX5" s="1718"/>
      <c r="HY5" s="1718"/>
      <c r="HZ5" s="1718"/>
      <c r="IA5" s="1718"/>
      <c r="IB5" s="1718"/>
      <c r="IC5" s="1718"/>
      <c r="ID5" s="1718"/>
      <c r="IE5" s="1718"/>
      <c r="IF5" s="1718"/>
      <c r="IG5" s="1718"/>
      <c r="IH5" s="1718"/>
      <c r="II5" s="1718"/>
      <c r="IJ5" s="1718"/>
      <c r="IK5" s="1718"/>
    </row>
    <row r="6" spans="1:245">
      <c r="A6" s="157"/>
      <c r="B6" s="1498" t="s">
        <v>1073</v>
      </c>
      <c r="C6" s="1728"/>
      <c r="D6" s="1729">
        <v>16.966722058943091</v>
      </c>
      <c r="E6" s="1729">
        <v>17.498018949804713</v>
      </c>
      <c r="F6" s="1729">
        <v>18.449165790310349</v>
      </c>
      <c r="G6" s="1729">
        <v>17.425036498213377</v>
      </c>
      <c r="H6" s="1729">
        <v>19.2775558119701</v>
      </c>
      <c r="I6" s="1729">
        <v>18.837458398335933</v>
      </c>
      <c r="J6" s="1730">
        <v>15.456523216582928</v>
      </c>
      <c r="K6" s="1731">
        <v>17.663753462603875</v>
      </c>
      <c r="L6" s="1732">
        <v>18.801721752498079</v>
      </c>
      <c r="M6" s="1732">
        <v>18.470989583333335</v>
      </c>
      <c r="N6" s="1732">
        <v>18.08337053571428</v>
      </c>
      <c r="O6" s="1732">
        <v>18.815133928571427</v>
      </c>
      <c r="P6" s="1732">
        <v>20.711912202380951</v>
      </c>
      <c r="Q6" s="1732">
        <v>21.283325859491775</v>
      </c>
      <c r="R6" s="1732">
        <v>20.554373134328362</v>
      </c>
      <c r="S6" s="1732">
        <v>18.820868263473052</v>
      </c>
      <c r="T6" s="1732">
        <v>21.780187125748501</v>
      </c>
      <c r="U6" s="1732">
        <v>22.674468562874257</v>
      </c>
      <c r="V6" s="1733">
        <v>17.07140718562874</v>
      </c>
      <c r="W6" s="1734">
        <v>20.037178143712573</v>
      </c>
      <c r="X6" s="1729">
        <v>21.003413173652692</v>
      </c>
      <c r="Y6" s="1729">
        <v>20.673308383233529</v>
      </c>
      <c r="Z6" s="1729">
        <v>21.464326347305384</v>
      </c>
      <c r="AA6" s="1729">
        <v>21.70078313253012</v>
      </c>
      <c r="AB6" s="1729">
        <v>23.736980421686752</v>
      </c>
      <c r="AC6" s="1729">
        <v>24.924277108433731</v>
      </c>
      <c r="AD6" s="1729">
        <v>22.835474397590364</v>
      </c>
      <c r="AE6" s="1729">
        <v>23.544103915662657</v>
      </c>
      <c r="AF6" s="1729">
        <v>24.78524417731029</v>
      </c>
      <c r="AG6" s="1729">
        <v>25.46710743801653</v>
      </c>
      <c r="AH6" s="1730">
        <v>22.139134036144572</v>
      </c>
      <c r="AI6" s="1735">
        <v>21.812514705882354</v>
      </c>
      <c r="AJ6" s="1735">
        <v>21.981757352941177</v>
      </c>
      <c r="AK6" s="1735">
        <v>20.474090909090915</v>
      </c>
      <c r="AL6" s="1735">
        <v>21.749441132637845</v>
      </c>
      <c r="AM6" s="1735">
        <v>22.560553914327912</v>
      </c>
      <c r="AN6" s="1735">
        <v>21.805158204562176</v>
      </c>
      <c r="AO6" s="1735">
        <v>23.351383370125092</v>
      </c>
      <c r="AP6" s="1735">
        <v>20.860126206384557</v>
      </c>
      <c r="AQ6" s="1735">
        <v>21.955830860534125</v>
      </c>
      <c r="AR6" s="1735">
        <v>23.142690058479531</v>
      </c>
      <c r="AS6" s="1735">
        <v>23.668757309941522</v>
      </c>
      <c r="AT6" s="1735">
        <v>20.320958302852961</v>
      </c>
      <c r="AU6" s="1736">
        <v>22.604015270514786</v>
      </c>
      <c r="AV6" s="1737">
        <v>26.970537037037037</v>
      </c>
      <c r="AW6" s="1737">
        <v>26.869592592592593</v>
      </c>
      <c r="AX6" s="1737">
        <v>26.811092896174863</v>
      </c>
      <c r="AY6" s="1737">
        <v>26.649993928354586</v>
      </c>
      <c r="AZ6" s="1737">
        <v>28.983703703703704</v>
      </c>
      <c r="BA6" s="1737">
        <v>29.680771098967814</v>
      </c>
      <c r="BB6" s="1737">
        <v>26.696442015786282</v>
      </c>
      <c r="BC6" s="1737">
        <v>26.448785670916813</v>
      </c>
      <c r="BD6" s="1737">
        <v>29.941244687310256</v>
      </c>
      <c r="BE6" s="1737">
        <v>31.372301153612625</v>
      </c>
      <c r="BF6" s="1738">
        <v>25.926721311475411</v>
      </c>
      <c r="BG6" s="1739">
        <v>24.716788099574977</v>
      </c>
      <c r="BH6" s="1740">
        <v>28.590686095931993</v>
      </c>
      <c r="BI6" s="1740">
        <v>29.029265330904675</v>
      </c>
      <c r="BJ6" s="1740">
        <v>28.67691560412872</v>
      </c>
      <c r="BK6" s="1740">
        <v>27.611220400728595</v>
      </c>
      <c r="BL6" s="1740">
        <v>27.88006071645416</v>
      </c>
      <c r="BM6" s="1740">
        <v>30.885488767455982</v>
      </c>
      <c r="BN6" s="1740">
        <v>30.082422586520941</v>
      </c>
      <c r="BO6" s="1740">
        <v>29.30012143290832</v>
      </c>
      <c r="BP6" s="1740">
        <v>31.712176505664878</v>
      </c>
      <c r="BQ6" s="1740">
        <v>34.068050089445443</v>
      </c>
      <c r="BR6" s="1741">
        <v>27.887871198568874</v>
      </c>
      <c r="BS6" s="1742">
        <v>30.323792486583191</v>
      </c>
      <c r="BT6" s="1743">
        <v>32.335336911150861</v>
      </c>
      <c r="BU6" s="1743">
        <v>33.427608825283244</v>
      </c>
      <c r="BV6" s="1743">
        <v>31.864269528920698</v>
      </c>
      <c r="BW6" s="1743">
        <v>33.33532498509242</v>
      </c>
      <c r="BX6" s="1743">
        <v>36.309326177698267</v>
      </c>
      <c r="BY6" s="1743">
        <v>34.625266549502051</v>
      </c>
      <c r="BZ6" s="1743">
        <v>33.921857059168133</v>
      </c>
      <c r="CA6" s="1743">
        <v>34.064704159343876</v>
      </c>
      <c r="CB6" s="1743">
        <v>35.372214411247811</v>
      </c>
      <c r="CC6" s="1743">
        <v>39.47244288224956</v>
      </c>
      <c r="CD6" s="1744">
        <v>29.279332161687169</v>
      </c>
      <c r="CE6" s="1745">
        <v>30.880497949619215</v>
      </c>
      <c r="CF6" s="1746">
        <v>39.658816637375516</v>
      </c>
      <c r="CG6" s="1746">
        <v>42.342390158172229</v>
      </c>
      <c r="CH6" s="1746">
        <v>37.397065026362043</v>
      </c>
      <c r="CI6" s="1746">
        <v>38.61048623315758</v>
      </c>
      <c r="CJ6" s="1746">
        <v>40.799420035149382</v>
      </c>
      <c r="CK6" s="1746">
        <v>42.353573520796729</v>
      </c>
      <c r="CL6" s="1746">
        <v>42.347794698251541</v>
      </c>
      <c r="CM6" s="1746">
        <v>44.456965595036671</v>
      </c>
      <c r="CN6" s="1746">
        <v>44.385504794134235</v>
      </c>
      <c r="CO6" s="1746">
        <v>46.855279187817267</v>
      </c>
      <c r="CP6" s="1747">
        <v>35.280028200789623</v>
      </c>
      <c r="CQ6" s="1748">
        <v>37.981082910321483</v>
      </c>
      <c r="CR6" s="1749">
        <v>48.003107727016364</v>
      </c>
      <c r="CS6" s="1749">
        <v>43.472453044962997</v>
      </c>
      <c r="CT6" s="1749">
        <v>41.372396129766649</v>
      </c>
      <c r="CU6" s="1749">
        <v>43.261809903244163</v>
      </c>
      <c r="CV6" s="1749">
        <v>42.623278315310188</v>
      </c>
      <c r="CW6" s="1749">
        <v>42.65</v>
      </c>
      <c r="CX6" s="1749">
        <v>44.541718838929988</v>
      </c>
      <c r="CY6" s="1749">
        <v>44.216676152532727</v>
      </c>
      <c r="CZ6" s="1749">
        <v>44.813716562322142</v>
      </c>
      <c r="DA6" s="1749">
        <v>47.927426136363636</v>
      </c>
      <c r="DB6" s="1750">
        <v>41.379761363636376</v>
      </c>
      <c r="DC6" s="1751">
        <v>37.34382954545454</v>
      </c>
      <c r="DD6" s="1752">
        <v>34.54869318181818</v>
      </c>
      <c r="DE6" s="1752">
        <v>43.373068181818184</v>
      </c>
      <c r="DF6" s="1752">
        <v>40.736164772727271</v>
      </c>
      <c r="DG6" s="1752">
        <v>38.964715909090913</v>
      </c>
      <c r="DH6" s="1752">
        <v>44.373713962690786</v>
      </c>
      <c r="DI6" s="1752">
        <v>44.292707744488396</v>
      </c>
      <c r="DJ6" s="1752">
        <v>37.216311239193089</v>
      </c>
      <c r="DK6" s="1752">
        <v>38.027031700288184</v>
      </c>
      <c r="DL6" s="1752">
        <v>39.978213256484153</v>
      </c>
      <c r="DM6" s="1752">
        <v>38.884070294784578</v>
      </c>
      <c r="DN6" s="1753">
        <v>32.895186862967158</v>
      </c>
      <c r="DO6" s="1754">
        <v>32.587499999999991</v>
      </c>
      <c r="DP6" s="1755">
        <v>32.297169811320749</v>
      </c>
      <c r="DQ6" s="1755">
        <v>34.522169811320751</v>
      </c>
      <c r="DR6" s="1755">
        <v>33.908667452830187</v>
      </c>
      <c r="DS6" s="1755">
        <v>31.496639150943402</v>
      </c>
      <c r="DT6" s="1755">
        <v>37.479716981132079</v>
      </c>
      <c r="DU6" s="1755">
        <v>35.56462264150943</v>
      </c>
      <c r="DV6" s="1755">
        <v>37.299587264150937</v>
      </c>
      <c r="DW6" s="1755">
        <v>35.481132075471699</v>
      </c>
      <c r="DX6" s="1755">
        <v>51.774028268551241</v>
      </c>
      <c r="DY6" s="1755">
        <v>33.110377358490567</v>
      </c>
      <c r="DZ6" s="1755">
        <v>29.660318396226419</v>
      </c>
      <c r="EA6" s="1777">
        <v>30.897818396226413</v>
      </c>
      <c r="EB6" s="1756">
        <v>34.832783018867921</v>
      </c>
      <c r="EC6" s="1757"/>
      <c r="ED6" s="1767">
        <v>34.11</v>
      </c>
      <c r="EE6" s="1767">
        <v>33.049999999999997</v>
      </c>
      <c r="EF6" s="1767">
        <v>38.020000000000003</v>
      </c>
      <c r="EG6" s="1767">
        <v>36.71</v>
      </c>
      <c r="EH6" s="1767">
        <v>33.229999999999997</v>
      </c>
      <c r="EI6" s="1767">
        <v>38.450000000000003</v>
      </c>
      <c r="EJ6" s="1767">
        <v>37.479999999999997</v>
      </c>
      <c r="EK6" s="1767">
        <v>40.43</v>
      </c>
      <c r="EL6" s="1767">
        <v>27.79</v>
      </c>
      <c r="EM6" s="1769">
        <v>30.39</v>
      </c>
      <c r="EN6" s="1767"/>
      <c r="EO6" s="1767"/>
      <c r="EP6" s="1767">
        <v>36.53</v>
      </c>
      <c r="EQ6" s="1767">
        <v>36.31</v>
      </c>
      <c r="ER6" s="1767">
        <v>36.71</v>
      </c>
      <c r="ES6" s="1767">
        <v>37.4</v>
      </c>
      <c r="ET6" s="1767">
        <v>32.36</v>
      </c>
      <c r="EU6" s="1767">
        <v>37.44</v>
      </c>
      <c r="EV6" s="1767">
        <v>36.869999999999997</v>
      </c>
      <c r="EW6" s="1767">
        <v>38.24</v>
      </c>
      <c r="EX6" s="1767">
        <v>25.5</v>
      </c>
      <c r="EY6" s="1769">
        <v>29.9</v>
      </c>
      <c r="EZ6" s="1759"/>
      <c r="FA6" s="1764">
        <v>17.688690556855139</v>
      </c>
      <c r="FB6" s="1765">
        <v>19.549551906671834</v>
      </c>
      <c r="FC6" s="1765">
        <v>22.68956026182321</v>
      </c>
      <c r="FD6" s="1765">
        <v>21.973248989387827</v>
      </c>
      <c r="FE6" s="1765">
        <v>27.413134128704503</v>
      </c>
      <c r="FF6" s="1765">
        <v>29.209036934005614</v>
      </c>
      <c r="FG6" s="1765">
        <v>33.689439094335256</v>
      </c>
      <c r="FH6" s="1765">
        <v>40.46763159931325</v>
      </c>
      <c r="FI6" s="1764">
        <v>43.520285590367223</v>
      </c>
      <c r="FJ6" s="1764">
        <v>39.249211161470001</v>
      </c>
      <c r="FK6" s="1764">
        <v>35.431827434328959</v>
      </c>
      <c r="FL6" s="1766">
        <v>35.502321734643424</v>
      </c>
      <c r="FM6" s="1763">
        <f>AVERAGE(EM6:EX6)</f>
        <v>34.774999999999999</v>
      </c>
      <c r="FN6" s="1763">
        <f>AVERAGE(EN6:EY6)</f>
        <v>34.725999999999999</v>
      </c>
      <c r="FO6" s="1717"/>
      <c r="FP6" s="1717"/>
      <c r="FQ6" s="1717"/>
      <c r="FR6" s="1717"/>
      <c r="FS6" s="1717"/>
      <c r="FT6" s="1717"/>
      <c r="FU6" s="1717"/>
      <c r="FV6" s="1717"/>
      <c r="FW6" s="1717"/>
      <c r="FX6" s="1718"/>
      <c r="FY6" s="1718"/>
      <c r="FZ6" s="1718"/>
      <c r="GA6" s="1718"/>
      <c r="GB6" s="1718"/>
      <c r="GC6" s="1718"/>
      <c r="GD6" s="1718"/>
      <c r="GE6" s="1718"/>
      <c r="GF6" s="1718"/>
      <c r="GG6" s="1718"/>
      <c r="GH6" s="1718"/>
      <c r="GI6" s="158"/>
      <c r="GJ6" s="158"/>
      <c r="GK6" s="158"/>
      <c r="GL6" s="1717"/>
      <c r="GM6" s="1718"/>
      <c r="GN6" s="1718"/>
      <c r="GO6" s="1718"/>
      <c r="GP6" s="1718"/>
      <c r="GQ6" s="1718"/>
      <c r="GR6" s="1718"/>
      <c r="GS6" s="1718"/>
      <c r="GT6" s="1718"/>
      <c r="GU6" s="1718"/>
      <c r="GV6" s="1718"/>
      <c r="GW6" s="1718"/>
      <c r="GX6" s="1718"/>
      <c r="GY6" s="1718"/>
      <c r="GZ6" s="1718"/>
      <c r="HA6" s="1718"/>
      <c r="HB6" s="1718"/>
      <c r="HC6" s="1718"/>
      <c r="HD6" s="1718"/>
      <c r="HE6" s="1718"/>
      <c r="HF6" s="1718"/>
      <c r="HG6" s="1718"/>
      <c r="HH6" s="1718"/>
      <c r="HI6" s="1718"/>
      <c r="HJ6" s="1718"/>
      <c r="HK6" s="1718"/>
      <c r="HL6" s="1718"/>
      <c r="HM6" s="1718"/>
      <c r="HN6" s="1718"/>
      <c r="HO6" s="1718"/>
      <c r="HP6" s="1718"/>
      <c r="HQ6" s="1718"/>
      <c r="HR6" s="1718"/>
      <c r="HS6" s="1718"/>
      <c r="HT6" s="1718"/>
      <c r="HU6" s="1718"/>
      <c r="HV6" s="1718"/>
      <c r="HW6" s="1718"/>
      <c r="HX6" s="1718"/>
      <c r="HY6" s="1718"/>
      <c r="HZ6" s="1718"/>
      <c r="IA6" s="1718"/>
      <c r="IB6" s="1718"/>
      <c r="IC6" s="1718"/>
      <c r="ID6" s="1718"/>
      <c r="IE6" s="1718"/>
      <c r="IF6" s="1718"/>
      <c r="IG6" s="1718"/>
      <c r="IH6" s="1718"/>
      <c r="II6" s="1718"/>
      <c r="IJ6" s="1718"/>
      <c r="IK6" s="1718"/>
    </row>
    <row r="7" spans="1:245">
      <c r="A7" s="157"/>
      <c r="B7" s="1498" t="s">
        <v>1074</v>
      </c>
      <c r="C7" s="1728"/>
      <c r="D7" s="1729">
        <v>6.7731461258450336</v>
      </c>
      <c r="E7" s="1729">
        <v>5.2588134614459188</v>
      </c>
      <c r="F7" s="1729">
        <v>5.4800206845604533</v>
      </c>
      <c r="G7" s="1729">
        <v>4.7550421614159353</v>
      </c>
      <c r="H7" s="1729">
        <v>5.3146800743395728</v>
      </c>
      <c r="I7" s="1729">
        <v>5.9421168135476066</v>
      </c>
      <c r="J7" s="1730">
        <v>5.659672481895984</v>
      </c>
      <c r="K7" s="1731">
        <v>6.541374407582941</v>
      </c>
      <c r="L7" s="1732">
        <v>6.7119222903885483</v>
      </c>
      <c r="M7" s="1732">
        <v>6.1075000000000017</v>
      </c>
      <c r="N7" s="1732">
        <v>6.4243462343096249</v>
      </c>
      <c r="O7" s="1732">
        <v>6.949121338912132</v>
      </c>
      <c r="P7" s="1732">
        <v>6.4536558577405856</v>
      </c>
      <c r="Q7" s="1732">
        <v>7.056842105263156</v>
      </c>
      <c r="R7" s="1732">
        <v>7.2251120375195406</v>
      </c>
      <c r="S7" s="1732">
        <v>6.9571800208116565</v>
      </c>
      <c r="T7" s="1732">
        <v>6.8355567117585849</v>
      </c>
      <c r="U7" s="1732">
        <v>7.6468486739469581</v>
      </c>
      <c r="V7" s="1733">
        <v>6.9448491155046819</v>
      </c>
      <c r="W7" s="1734">
        <v>6.5441398963730579</v>
      </c>
      <c r="X7" s="1729">
        <v>6.8726062176165792</v>
      </c>
      <c r="Y7" s="1729">
        <v>7.363331606217618</v>
      </c>
      <c r="Z7" s="1729">
        <v>7.6233212435233169</v>
      </c>
      <c r="AA7" s="1729">
        <v>7.6478808290155431</v>
      </c>
      <c r="AB7" s="1729">
        <v>7.4000725388601039</v>
      </c>
      <c r="AC7" s="1729">
        <v>8.1855906735751294</v>
      </c>
      <c r="AD7" s="1729">
        <v>8.2202020725388607</v>
      </c>
      <c r="AE7" s="1729">
        <v>8.1749740932642503</v>
      </c>
      <c r="AF7" s="1729">
        <v>7.3861709844559602</v>
      </c>
      <c r="AG7" s="1729">
        <v>8.1407505175983434</v>
      </c>
      <c r="AH7" s="1730">
        <v>7.2130392156862762</v>
      </c>
      <c r="AI7" s="1735">
        <v>7.7947744945567683</v>
      </c>
      <c r="AJ7" s="1735">
        <v>7.6063402061855685</v>
      </c>
      <c r="AK7" s="1735">
        <v>7.8286704604242079</v>
      </c>
      <c r="AL7" s="1735">
        <v>7.2351577858251428</v>
      </c>
      <c r="AM7" s="1735">
        <v>7.5425142265907921</v>
      </c>
      <c r="AN7" s="1735">
        <v>7.6174702534919811</v>
      </c>
      <c r="AO7" s="1735">
        <v>8.547178294573639</v>
      </c>
      <c r="AP7" s="1735">
        <v>8.1945007759958592</v>
      </c>
      <c r="AQ7" s="1735">
        <v>7.4877547853078052</v>
      </c>
      <c r="AR7" s="1735">
        <v>7.143005690636314</v>
      </c>
      <c r="AS7" s="1735">
        <v>7.6846663217796172</v>
      </c>
      <c r="AT7" s="1735">
        <v>8.1903514211886321</v>
      </c>
      <c r="AU7" s="1736">
        <v>8.0879896640826843</v>
      </c>
      <c r="AV7" s="1737">
        <v>8.4473928571428551</v>
      </c>
      <c r="AW7" s="1737">
        <v>7.6814336734693924</v>
      </c>
      <c r="AX7" s="1737">
        <v>7.7815910249872502</v>
      </c>
      <c r="AY7" s="1737">
        <v>8.3463233044365133</v>
      </c>
      <c r="AZ7" s="1737">
        <v>7.9255226925038222</v>
      </c>
      <c r="BA7" s="1737">
        <v>8.13011728709842</v>
      </c>
      <c r="BB7" s="1737">
        <v>8.0062774094849569</v>
      </c>
      <c r="BC7" s="1737">
        <v>7.7548240693523711</v>
      </c>
      <c r="BD7" s="1737">
        <v>8.0050892401835796</v>
      </c>
      <c r="BE7" s="1737">
        <v>7.492238653748089</v>
      </c>
      <c r="BF7" s="1738">
        <v>7.8648597654258019</v>
      </c>
      <c r="BG7" s="1739">
        <v>7.441422743498217</v>
      </c>
      <c r="BH7" s="1740">
        <v>8.1446404895461502</v>
      </c>
      <c r="BI7" s="1740">
        <v>7.2048546659867441</v>
      </c>
      <c r="BJ7" s="1740">
        <v>7.5493115757266711</v>
      </c>
      <c r="BK7" s="1740">
        <v>7.3164966853646094</v>
      </c>
      <c r="BL7" s="1740">
        <v>8.2027944926058112</v>
      </c>
      <c r="BM7" s="1740">
        <v>8.5212136664966867</v>
      </c>
      <c r="BN7" s="1740">
        <v>8.5001223865374786</v>
      </c>
      <c r="BO7" s="1740">
        <v>8.2735288118306993</v>
      </c>
      <c r="BP7" s="1740">
        <v>8.9197552269250391</v>
      </c>
      <c r="BQ7" s="1740">
        <v>9.2642274349821534</v>
      </c>
      <c r="BR7" s="1741">
        <v>9.0611575726670068</v>
      </c>
      <c r="BS7" s="1742">
        <v>9.14709841917389</v>
      </c>
      <c r="BT7" s="1743">
        <v>9.1806833248342681</v>
      </c>
      <c r="BU7" s="1743">
        <v>9.7800560938296801</v>
      </c>
      <c r="BV7" s="1743">
        <v>9.6047322794492604</v>
      </c>
      <c r="BW7" s="1743">
        <v>11.042970580492304</v>
      </c>
      <c r="BX7" s="1743">
        <v>11.143661397246305</v>
      </c>
      <c r="BY7" s="1743">
        <v>12.41824721377913</v>
      </c>
      <c r="BZ7" s="1743">
        <v>11.52078014184397</v>
      </c>
      <c r="CA7" s="1743">
        <v>11.391757852077003</v>
      </c>
      <c r="CB7" s="1743">
        <v>11.448774062816613</v>
      </c>
      <c r="CC7" s="1743">
        <v>10.893799392097264</v>
      </c>
      <c r="CD7" s="1744">
        <v>9.5254407294832841</v>
      </c>
      <c r="CE7" s="1745">
        <v>9.9673556231003033</v>
      </c>
      <c r="CF7" s="1746">
        <v>10.24838905775076</v>
      </c>
      <c r="CG7" s="1746">
        <v>11.237092198581561</v>
      </c>
      <c r="CH7" s="1746">
        <v>10.772750759878416</v>
      </c>
      <c r="CI7" s="1746">
        <v>10.732659574468085</v>
      </c>
      <c r="CJ7" s="1746">
        <v>10.33507092198581</v>
      </c>
      <c r="CK7" s="1746">
        <v>10.615764944275583</v>
      </c>
      <c r="CL7" s="1746">
        <v>10.773171225937185</v>
      </c>
      <c r="CM7" s="1746">
        <v>10.995197568389059</v>
      </c>
      <c r="CN7" s="1746">
        <v>11.907431610942247</v>
      </c>
      <c r="CO7" s="1746">
        <v>12.371170212765959</v>
      </c>
      <c r="CP7" s="1747">
        <v>10.98850557244174</v>
      </c>
      <c r="CQ7" s="1748">
        <v>12.435699088145896</v>
      </c>
      <c r="CR7" s="1749">
        <v>12.645283687943262</v>
      </c>
      <c r="CS7" s="1749">
        <v>12.419386189258315</v>
      </c>
      <c r="CT7" s="1749">
        <v>11.029836233367451</v>
      </c>
      <c r="CU7" s="1749">
        <v>10.683213920163771</v>
      </c>
      <c r="CV7" s="1749">
        <v>11.24114636642784</v>
      </c>
      <c r="CW7" s="1749">
        <v>11.97</v>
      </c>
      <c r="CX7" s="1749">
        <v>11.78915601023018</v>
      </c>
      <c r="CY7" s="1749">
        <v>12.605303416624171</v>
      </c>
      <c r="CZ7" s="1749">
        <v>14.010249872514024</v>
      </c>
      <c r="DA7" s="1749">
        <v>14.429694033656302</v>
      </c>
      <c r="DB7" s="1750">
        <v>12.314186639469661</v>
      </c>
      <c r="DC7" s="1751">
        <v>12.965849056603773</v>
      </c>
      <c r="DD7" s="1752">
        <v>12.136766955634878</v>
      </c>
      <c r="DE7" s="1752">
        <v>13.856807751147375</v>
      </c>
      <c r="DF7" s="1752">
        <v>12.555884752677205</v>
      </c>
      <c r="DG7" s="1752">
        <v>12.634778174400813</v>
      </c>
      <c r="DH7" s="1752">
        <v>12.975064004096263</v>
      </c>
      <c r="DI7" s="1752">
        <v>11.570711725550435</v>
      </c>
      <c r="DJ7" s="1752">
        <v>10.316345653305568</v>
      </c>
      <c r="DK7" s="1752">
        <v>10.725819885476314</v>
      </c>
      <c r="DL7" s="1752">
        <v>11.244612181155649</v>
      </c>
      <c r="DM7" s="1752">
        <v>11.260908610670892</v>
      </c>
      <c r="DN7" s="1753">
        <v>11.194105263157896</v>
      </c>
      <c r="DO7" s="1754">
        <v>11.044010152284264</v>
      </c>
      <c r="DP7" s="1755">
        <v>10.579949238578678</v>
      </c>
      <c r="DQ7" s="1755">
        <v>11.19751269035533</v>
      </c>
      <c r="DR7" s="1755">
        <v>9.7067005076142134</v>
      </c>
      <c r="DS7" s="1755">
        <v>8.8536040609137068</v>
      </c>
      <c r="DT7" s="1755">
        <v>10.36243654822335</v>
      </c>
      <c r="DU7" s="1755">
        <v>9.8602538071065986</v>
      </c>
      <c r="DV7" s="1755">
        <v>10.713096446700508</v>
      </c>
      <c r="DW7" s="1755">
        <v>11.126598984771574</v>
      </c>
      <c r="DX7" s="1755">
        <v>14.751725888324875</v>
      </c>
      <c r="DY7" s="1755">
        <v>10.468477157360406</v>
      </c>
      <c r="DZ7" s="1755">
        <v>10.115076142131979</v>
      </c>
      <c r="EA7" s="1777">
        <v>11.302385786802025</v>
      </c>
      <c r="EB7" s="1756">
        <v>11.810913705583761</v>
      </c>
      <c r="EC7" s="1757"/>
      <c r="ED7" s="1757"/>
      <c r="EE7" s="1757"/>
      <c r="EF7" s="1757"/>
      <c r="EG7" s="1757"/>
      <c r="EH7" s="1757"/>
      <c r="EI7" s="1757"/>
      <c r="EJ7" s="1757"/>
      <c r="EK7" s="1757"/>
      <c r="EL7" s="1757"/>
      <c r="EM7" s="1773"/>
      <c r="EN7" s="1774"/>
      <c r="EO7" s="1774"/>
      <c r="EP7" s="1774"/>
      <c r="EQ7" s="1774"/>
      <c r="ER7" s="1774"/>
      <c r="ES7" s="1774"/>
      <c r="ET7" s="1774"/>
      <c r="EU7" s="1774"/>
      <c r="EV7" s="1774"/>
      <c r="EW7" s="1774"/>
      <c r="EX7" s="1774"/>
      <c r="EY7" s="1758"/>
      <c r="EZ7" s="1759"/>
      <c r="FA7" s="1764">
        <v>5.5909781792077515</v>
      </c>
      <c r="FB7" s="1764">
        <v>6.8222240941871259</v>
      </c>
      <c r="FC7" s="1764">
        <v>7.5650896293696857</v>
      </c>
      <c r="FD7" s="1764">
        <v>7.7430761993422497</v>
      </c>
      <c r="FE7" s="1764">
        <v>7.9585789201286943</v>
      </c>
      <c r="FF7" s="1764">
        <v>8.1990726425572582</v>
      </c>
      <c r="FG7" s="1764">
        <v>10.599378352818976</v>
      </c>
      <c r="FH7" s="1764">
        <v>10.915238303423971</v>
      </c>
      <c r="FI7" s="1764">
        <v>12.297762954816738</v>
      </c>
      <c r="FJ7" s="1764">
        <v>11.962430341432258</v>
      </c>
      <c r="FK7" s="1764">
        <v>10.731620135363791</v>
      </c>
      <c r="FL7" s="1766">
        <v>10.855731810490694</v>
      </c>
      <c r="FM7" s="1763"/>
      <c r="FN7" s="1763"/>
      <c r="FO7" s="1717"/>
      <c r="FP7" s="1717"/>
      <c r="FQ7" s="1717"/>
      <c r="FR7" s="1717"/>
      <c r="FS7" s="1717"/>
      <c r="FT7" s="1717"/>
      <c r="FU7" s="1717"/>
      <c r="FV7" s="1717"/>
      <c r="FW7" s="1717"/>
      <c r="FX7" s="1718"/>
      <c r="FY7" s="1718"/>
      <c r="FZ7" s="1718"/>
      <c r="GA7" s="1718"/>
      <c r="GB7" s="1718"/>
      <c r="GC7" s="1718"/>
      <c r="GD7" s="1718"/>
      <c r="GE7" s="1718"/>
      <c r="GF7" s="1718"/>
      <c r="GG7" s="1718"/>
      <c r="GH7" s="1718"/>
      <c r="GI7" s="158"/>
      <c r="GJ7" s="158"/>
      <c r="GK7" s="158"/>
      <c r="GL7" s="1717"/>
      <c r="GM7" s="1718"/>
      <c r="GN7" s="1718"/>
      <c r="GO7" s="1718"/>
      <c r="GP7" s="1718"/>
      <c r="GQ7" s="1718"/>
      <c r="GR7" s="1718"/>
      <c r="GS7" s="1718"/>
      <c r="GT7" s="1718"/>
      <c r="GU7" s="1718"/>
      <c r="GV7" s="1718"/>
      <c r="GW7" s="1718"/>
      <c r="GX7" s="1718"/>
      <c r="GY7" s="1718"/>
      <c r="GZ7" s="1718"/>
      <c r="HA7" s="1718"/>
      <c r="HB7" s="1718"/>
      <c r="HC7" s="1718"/>
      <c r="HD7" s="1718"/>
      <c r="HE7" s="1718"/>
      <c r="HF7" s="1718"/>
      <c r="HG7" s="1718"/>
      <c r="HH7" s="1718"/>
      <c r="HI7" s="1718"/>
      <c r="HJ7" s="1718"/>
      <c r="HK7" s="1718"/>
      <c r="HL7" s="1718"/>
      <c r="HM7" s="1718"/>
      <c r="HN7" s="1718"/>
      <c r="HO7" s="1718"/>
      <c r="HP7" s="1718"/>
      <c r="HQ7" s="1718"/>
      <c r="HR7" s="1718"/>
      <c r="HS7" s="1718"/>
      <c r="HT7" s="1718"/>
      <c r="HU7" s="1718"/>
      <c r="HV7" s="1718"/>
      <c r="HW7" s="1718"/>
      <c r="HX7" s="1718"/>
      <c r="HY7" s="1718"/>
      <c r="HZ7" s="1718"/>
      <c r="IA7" s="1718"/>
      <c r="IB7" s="1718"/>
      <c r="IC7" s="1718"/>
      <c r="ID7" s="1718"/>
      <c r="IE7" s="1718"/>
      <c r="IF7" s="1718"/>
      <c r="IG7" s="1718"/>
      <c r="IH7" s="1718"/>
      <c r="II7" s="1718"/>
      <c r="IJ7" s="1718"/>
      <c r="IK7" s="1718"/>
    </row>
    <row r="8" spans="1:245" ht="27.6">
      <c r="EA8" s="1000"/>
      <c r="ED8" s="1768" t="s">
        <v>1079</v>
      </c>
      <c r="EE8" s="1768" t="s">
        <v>1079</v>
      </c>
      <c r="EF8" s="1768" t="s">
        <v>1080</v>
      </c>
      <c r="EG8" s="1768" t="s">
        <v>1080</v>
      </c>
      <c r="EH8" s="1768" t="s">
        <v>1081</v>
      </c>
      <c r="EI8" s="1768" t="s">
        <v>1082</v>
      </c>
      <c r="EJ8" s="1768" t="s">
        <v>1083</v>
      </c>
      <c r="EK8" s="1768" t="s">
        <v>1083</v>
      </c>
      <c r="EL8" s="1768" t="s">
        <v>1078</v>
      </c>
      <c r="EM8" s="1770" t="s">
        <v>1078</v>
      </c>
      <c r="EN8" s="1768"/>
      <c r="EO8" s="1768"/>
      <c r="EP8" s="1768" t="s">
        <v>1079</v>
      </c>
      <c r="EQ8" s="1768" t="s">
        <v>1079</v>
      </c>
      <c r="ER8" s="1768" t="s">
        <v>1080</v>
      </c>
      <c r="ES8" s="1768" t="s">
        <v>1080</v>
      </c>
      <c r="ET8" s="1768" t="s">
        <v>1081</v>
      </c>
      <c r="EU8" s="1768" t="s">
        <v>1082</v>
      </c>
      <c r="EV8" s="1768" t="s">
        <v>1083</v>
      </c>
      <c r="EW8" s="1768" t="s">
        <v>1083</v>
      </c>
      <c r="EX8" s="1768" t="s">
        <v>1078</v>
      </c>
      <c r="EY8" s="1770" t="s">
        <v>1078</v>
      </c>
      <c r="FA8" s="5710" t="s">
        <v>510</v>
      </c>
      <c r="FB8" s="5710"/>
      <c r="FC8" s="5710"/>
      <c r="FD8" s="5710"/>
      <c r="FE8" s="5710"/>
      <c r="FF8" s="5710"/>
      <c r="FG8" s="5710"/>
      <c r="FH8" s="5710"/>
      <c r="FI8" s="5710"/>
      <c r="FJ8" s="5710"/>
      <c r="FK8" s="5710"/>
      <c r="FL8" s="5711"/>
      <c r="FM8" s="1719"/>
      <c r="FN8" s="1719"/>
    </row>
    <row r="9" spans="1:245">
      <c r="FA9" s="2" t="s">
        <v>1075</v>
      </c>
    </row>
  </sheetData>
  <mergeCells count="1">
    <mergeCell ref="FA8:FL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X45"/>
  <sheetViews>
    <sheetView showGridLines="0" zoomScaleNormal="100" workbookViewId="0">
      <selection activeCell="G25" sqref="G25"/>
    </sheetView>
  </sheetViews>
  <sheetFormatPr baseColWidth="10" defaultRowHeight="14.4"/>
  <cols>
    <col min="1" max="1" width="2.33203125" customWidth="1"/>
    <col min="2" max="2" width="47.44140625" customWidth="1"/>
    <col min="3" max="3" width="14" bestFit="1" customWidth="1"/>
    <col min="4" max="4" width="14.109375" customWidth="1"/>
    <col min="5" max="5" width="34.6640625" customWidth="1"/>
    <col min="6" max="6" width="13.33203125" bestFit="1" customWidth="1"/>
    <col min="8" max="8" width="11.6640625" bestFit="1" customWidth="1"/>
  </cols>
  <sheetData>
    <row r="1" spans="1:24" ht="21">
      <c r="A1" s="421"/>
      <c r="B1" s="586" t="s">
        <v>891</v>
      </c>
      <c r="C1" s="421"/>
      <c r="D1" s="421"/>
      <c r="E1" s="421"/>
      <c r="F1" s="421"/>
      <c r="G1" s="421"/>
      <c r="H1" s="421"/>
      <c r="I1" s="421"/>
      <c r="J1" s="421"/>
      <c r="K1" s="421"/>
      <c r="L1" s="421"/>
      <c r="M1" s="421"/>
      <c r="N1" s="421"/>
      <c r="O1" s="421"/>
      <c r="P1" s="421"/>
      <c r="Q1" s="421"/>
      <c r="R1" s="421"/>
      <c r="S1" s="421"/>
      <c r="T1" s="421"/>
      <c r="U1" s="421"/>
      <c r="V1" s="421"/>
      <c r="W1" s="421"/>
      <c r="X1" s="421"/>
    </row>
    <row r="2" spans="1:24" ht="15" thickBot="1">
      <c r="A2" s="253"/>
      <c r="B2" s="48"/>
      <c r="C2" s="48"/>
      <c r="D2" s="48"/>
      <c r="E2" s="48"/>
      <c r="F2" s="48"/>
      <c r="G2" s="48"/>
      <c r="H2" s="48"/>
      <c r="I2" s="48"/>
      <c r="J2" s="48"/>
      <c r="K2" s="48"/>
      <c r="L2" s="48"/>
      <c r="M2" s="48"/>
      <c r="N2" s="48"/>
      <c r="O2" s="48"/>
      <c r="P2" s="48"/>
      <c r="Q2" s="48"/>
      <c r="R2" s="48"/>
      <c r="S2" s="48"/>
      <c r="T2" s="48"/>
      <c r="U2" s="48"/>
      <c r="V2" s="48"/>
      <c r="W2" s="48"/>
      <c r="X2" s="48"/>
    </row>
    <row r="3" spans="1:24" ht="15" thickBot="1">
      <c r="A3" s="253"/>
      <c r="B3" s="2826"/>
      <c r="C3" s="3652" t="s">
        <v>535</v>
      </c>
      <c r="D3" s="4899" t="s">
        <v>1561</v>
      </c>
      <c r="E3" s="4899" t="s">
        <v>1560</v>
      </c>
      <c r="F3" s="5716" t="s">
        <v>478</v>
      </c>
      <c r="G3" s="5717"/>
      <c r="H3" s="48"/>
      <c r="I3" s="48"/>
      <c r="J3" s="48"/>
      <c r="K3" s="48"/>
      <c r="L3" s="48"/>
      <c r="M3" s="48"/>
      <c r="N3" s="48"/>
      <c r="O3" s="48"/>
      <c r="P3" s="48"/>
      <c r="Q3" s="48"/>
      <c r="R3" s="48"/>
      <c r="S3" s="48"/>
      <c r="T3" s="48"/>
      <c r="U3" s="48"/>
      <c r="V3" s="48"/>
      <c r="W3" s="48"/>
      <c r="X3" s="48"/>
    </row>
    <row r="4" spans="1:24" ht="13.95" customHeight="1">
      <c r="A4" s="390"/>
      <c r="B4" s="5712" t="s">
        <v>199</v>
      </c>
      <c r="C4" s="4906">
        <v>2008</v>
      </c>
      <c r="D4" s="3642">
        <v>2509</v>
      </c>
      <c r="E4" s="3659" t="s">
        <v>1562</v>
      </c>
      <c r="F4" s="3643"/>
      <c r="G4" s="3644"/>
      <c r="H4" s="389"/>
      <c r="I4" s="389"/>
      <c r="J4" s="389"/>
      <c r="K4" s="389"/>
      <c r="L4" s="389"/>
      <c r="M4" s="389"/>
      <c r="N4" s="389"/>
      <c r="O4" s="389"/>
      <c r="P4" s="389"/>
      <c r="Q4" s="389"/>
      <c r="R4" s="389"/>
      <c r="S4" s="389"/>
      <c r="T4" s="389"/>
      <c r="U4" s="389"/>
      <c r="V4" s="389"/>
      <c r="W4" s="389"/>
      <c r="X4" s="389"/>
    </row>
    <row r="5" spans="1:24" ht="15" customHeight="1">
      <c r="A5" s="390"/>
      <c r="B5" s="5713"/>
      <c r="C5" s="4907">
        <v>2009</v>
      </c>
      <c r="D5" s="401">
        <v>2982</v>
      </c>
      <c r="E5" s="3660" t="s">
        <v>1563</v>
      </c>
      <c r="F5" s="3645">
        <f>D5/D4-1</f>
        <v>0.18852132323634918</v>
      </c>
      <c r="G5" s="3646"/>
      <c r="H5" s="389"/>
      <c r="I5" s="389"/>
      <c r="J5" s="389"/>
      <c r="K5" s="389"/>
      <c r="L5" s="389"/>
      <c r="M5" s="389"/>
      <c r="N5" s="389"/>
      <c r="O5" s="389"/>
      <c r="P5" s="389"/>
      <c r="Q5" s="389"/>
      <c r="R5" s="389"/>
      <c r="S5" s="389"/>
      <c r="T5" s="389"/>
      <c r="U5" s="389"/>
      <c r="V5" s="389"/>
      <c r="W5" s="389"/>
      <c r="X5" s="389"/>
    </row>
    <row r="6" spans="1:24" ht="15" customHeight="1">
      <c r="A6" s="390"/>
      <c r="B6" s="5713"/>
      <c r="C6" s="4907">
        <v>2010</v>
      </c>
      <c r="D6" s="401">
        <v>2685</v>
      </c>
      <c r="E6" s="3660" t="s">
        <v>1564</v>
      </c>
      <c r="F6" s="3645">
        <f t="shared" ref="F6:F12" si="0">D6/D5-1</f>
        <v>-9.9597585513078513E-2</v>
      </c>
      <c r="G6" s="3646"/>
      <c r="H6" s="389"/>
      <c r="I6" s="389"/>
      <c r="J6" s="389"/>
      <c r="K6" s="389"/>
      <c r="L6" s="389"/>
      <c r="M6" s="389"/>
      <c r="N6" s="389"/>
      <c r="O6" s="389"/>
      <c r="P6" s="389"/>
      <c r="Q6" s="389"/>
      <c r="R6" s="389"/>
      <c r="S6" s="389"/>
      <c r="T6" s="389"/>
      <c r="U6" s="389"/>
      <c r="V6" s="389"/>
      <c r="W6" s="389"/>
      <c r="X6" s="389"/>
    </row>
    <row r="7" spans="1:24" ht="15" customHeight="1">
      <c r="A7" s="390"/>
      <c r="B7" s="5713"/>
      <c r="C7" s="4907">
        <v>2011</v>
      </c>
      <c r="D7" s="401">
        <v>2891</v>
      </c>
      <c r="E7" s="3660" t="s">
        <v>1565</v>
      </c>
      <c r="F7" s="3645">
        <f t="shared" si="0"/>
        <v>7.6722532588454406E-2</v>
      </c>
      <c r="G7" s="3646"/>
      <c r="H7" s="389"/>
      <c r="I7" s="389"/>
      <c r="J7" s="389"/>
      <c r="K7" s="389"/>
      <c r="L7" s="389"/>
      <c r="M7" s="389"/>
      <c r="N7" s="389"/>
      <c r="O7" s="389"/>
      <c r="P7" s="389"/>
      <c r="Q7" s="389"/>
      <c r="R7" s="389"/>
      <c r="S7" s="389"/>
      <c r="T7" s="389"/>
      <c r="U7" s="389"/>
      <c r="V7" s="389"/>
      <c r="W7" s="389"/>
      <c r="X7" s="389"/>
    </row>
    <row r="8" spans="1:24" ht="15" customHeight="1">
      <c r="A8" s="390"/>
      <c r="B8" s="5713"/>
      <c r="C8" s="4907">
        <v>2012</v>
      </c>
      <c r="D8" s="401">
        <v>3464</v>
      </c>
      <c r="E8" s="3660" t="s">
        <v>1566</v>
      </c>
      <c r="F8" s="3645">
        <f t="shared" si="0"/>
        <v>0.19820131442407463</v>
      </c>
      <c r="G8" s="3646"/>
      <c r="H8" s="389"/>
      <c r="I8" s="389"/>
      <c r="J8" s="389"/>
      <c r="K8" s="389"/>
      <c r="L8" s="389"/>
      <c r="M8" s="389"/>
      <c r="N8" s="389"/>
      <c r="O8" s="389"/>
      <c r="P8" s="389"/>
      <c r="Q8" s="389"/>
      <c r="R8" s="389"/>
      <c r="S8" s="389"/>
      <c r="T8" s="389"/>
      <c r="U8" s="389"/>
      <c r="V8" s="389"/>
      <c r="W8" s="389"/>
      <c r="X8" s="389"/>
    </row>
    <row r="9" spans="1:24" ht="15" customHeight="1">
      <c r="A9" s="390"/>
      <c r="B9" s="5713"/>
      <c r="C9" s="4907">
        <v>2013</v>
      </c>
      <c r="D9" s="401">
        <v>4450</v>
      </c>
      <c r="E9" s="3660" t="s">
        <v>1567</v>
      </c>
      <c r="F9" s="3645">
        <f t="shared" si="0"/>
        <v>0.28464203233256358</v>
      </c>
      <c r="G9" s="3646"/>
      <c r="H9" s="389"/>
      <c r="I9" s="389"/>
      <c r="J9" s="389"/>
      <c r="K9" s="389"/>
      <c r="L9" s="389"/>
      <c r="M9" s="389"/>
      <c r="N9" s="389"/>
      <c r="O9" s="389"/>
      <c r="P9" s="389"/>
      <c r="Q9" s="389"/>
      <c r="R9" s="389"/>
      <c r="S9" s="389"/>
      <c r="T9" s="389"/>
      <c r="U9" s="389"/>
      <c r="V9" s="389"/>
      <c r="W9" s="389"/>
      <c r="X9" s="389"/>
    </row>
    <row r="10" spans="1:24" ht="15" customHeight="1">
      <c r="A10" s="390"/>
      <c r="B10" s="5713"/>
      <c r="C10" s="4907">
        <v>2014</v>
      </c>
      <c r="D10" s="401">
        <v>4869</v>
      </c>
      <c r="E10" s="3660" t="s">
        <v>1568</v>
      </c>
      <c r="F10" s="3645">
        <f t="shared" si="0"/>
        <v>9.4157303370786538E-2</v>
      </c>
      <c r="G10" s="3646"/>
      <c r="H10" s="389"/>
      <c r="I10" s="389"/>
      <c r="J10" s="389"/>
      <c r="K10" s="389"/>
      <c r="L10" s="389"/>
      <c r="M10" s="389"/>
      <c r="N10" s="389"/>
      <c r="O10" s="389"/>
      <c r="P10" s="389"/>
      <c r="Q10" s="389"/>
      <c r="R10" s="389"/>
      <c r="S10" s="389"/>
      <c r="T10" s="389"/>
      <c r="U10" s="389"/>
      <c r="V10" s="389"/>
      <c r="W10" s="389"/>
      <c r="X10" s="389"/>
    </row>
    <row r="11" spans="1:24" ht="15" customHeight="1">
      <c r="A11" s="390"/>
      <c r="B11" s="5713"/>
      <c r="C11" s="4908">
        <v>2015</v>
      </c>
      <c r="D11" s="3661">
        <v>5220</v>
      </c>
      <c r="E11" s="3662" t="s">
        <v>564</v>
      </c>
      <c r="F11" s="3663">
        <f t="shared" si="0"/>
        <v>7.2088724584103536E-2</v>
      </c>
      <c r="G11" s="3664" t="s">
        <v>393</v>
      </c>
      <c r="H11" s="385"/>
      <c r="I11" s="386"/>
      <c r="J11" s="389"/>
      <c r="K11" s="389"/>
      <c r="L11" s="389"/>
      <c r="M11" s="389"/>
      <c r="N11" s="389"/>
      <c r="O11" s="389"/>
      <c r="P11" s="389"/>
      <c r="Q11" s="389"/>
      <c r="R11" s="389"/>
      <c r="S11" s="389"/>
      <c r="T11" s="389"/>
      <c r="U11" s="389"/>
      <c r="V11" s="389"/>
      <c r="W11" s="389"/>
      <c r="X11" s="389"/>
    </row>
    <row r="12" spans="1:24" ht="15.75" customHeight="1">
      <c r="A12" s="390"/>
      <c r="B12" s="5713"/>
      <c r="C12" s="4908">
        <v>2016</v>
      </c>
      <c r="D12" s="3661">
        <v>5109</v>
      </c>
      <c r="E12" s="3662" t="s">
        <v>759</v>
      </c>
      <c r="F12" s="3663">
        <f t="shared" si="0"/>
        <v>-2.1264367816091978E-2</v>
      </c>
      <c r="G12" s="3664" t="s">
        <v>530</v>
      </c>
      <c r="H12" s="385"/>
      <c r="I12" s="386"/>
      <c r="J12" s="389"/>
      <c r="K12" s="389"/>
      <c r="L12" s="389"/>
      <c r="M12" s="389"/>
      <c r="N12" s="389"/>
      <c r="O12" s="389"/>
      <c r="P12" s="389"/>
      <c r="Q12" s="389"/>
      <c r="R12" s="389"/>
      <c r="S12" s="389"/>
      <c r="T12" s="389"/>
      <c r="U12" s="389"/>
      <c r="V12" s="389"/>
      <c r="W12" s="389"/>
      <c r="X12" s="389"/>
    </row>
    <row r="13" spans="1:24" ht="15.75" customHeight="1">
      <c r="A13" s="390"/>
      <c r="B13" s="5713"/>
      <c r="C13" s="4908">
        <v>2017</v>
      </c>
      <c r="D13" s="3661">
        <v>5231</v>
      </c>
      <c r="E13" s="3662" t="s">
        <v>759</v>
      </c>
      <c r="F13" s="3663">
        <f t="shared" ref="F13:F18" si="1">D13/D12-1</f>
        <v>2.3879428459581131E-2</v>
      </c>
      <c r="G13" s="3664" t="s">
        <v>575</v>
      </c>
      <c r="H13" s="385"/>
      <c r="I13" s="386"/>
      <c r="J13" s="389"/>
      <c r="K13" s="389"/>
      <c r="L13" s="389"/>
      <c r="M13" s="389"/>
      <c r="N13" s="389"/>
      <c r="O13" s="389"/>
      <c r="P13" s="389"/>
      <c r="Q13" s="389"/>
      <c r="R13" s="389"/>
      <c r="S13" s="389"/>
      <c r="T13" s="389"/>
      <c r="U13" s="389"/>
      <c r="V13" s="389"/>
      <c r="W13" s="389"/>
      <c r="X13" s="389"/>
    </row>
    <row r="14" spans="1:24" ht="15.75" customHeight="1">
      <c r="A14" s="390"/>
      <c r="B14" s="5713"/>
      <c r="C14" s="4908">
        <v>2018</v>
      </c>
      <c r="D14" s="3661">
        <v>4381</v>
      </c>
      <c r="E14" s="3662" t="s">
        <v>884</v>
      </c>
      <c r="F14" s="3665">
        <f t="shared" si="1"/>
        <v>-0.16249283119862357</v>
      </c>
      <c r="G14" s="3664" t="s">
        <v>839</v>
      </c>
      <c r="H14" s="385"/>
      <c r="I14" s="386"/>
      <c r="J14" s="389"/>
      <c r="K14" s="389"/>
      <c r="L14" s="389"/>
      <c r="M14" s="389"/>
      <c r="N14" s="389"/>
      <c r="O14" s="389"/>
      <c r="P14" s="389"/>
      <c r="Q14" s="389"/>
      <c r="R14" s="389"/>
      <c r="S14" s="389"/>
      <c r="T14" s="389"/>
      <c r="U14" s="389"/>
      <c r="V14" s="389"/>
      <c r="W14" s="389"/>
      <c r="X14" s="389"/>
    </row>
    <row r="15" spans="1:24" ht="15.75" customHeight="1">
      <c r="A15" s="390"/>
      <c r="B15" s="5713"/>
      <c r="C15" s="4908">
        <v>2019</v>
      </c>
      <c r="D15" s="3666">
        <v>4752</v>
      </c>
      <c r="E15" s="3662" t="s">
        <v>1389</v>
      </c>
      <c r="F15" s="3665">
        <f t="shared" si="1"/>
        <v>8.4683862131933241E-2</v>
      </c>
      <c r="G15" s="3664" t="s">
        <v>874</v>
      </c>
      <c r="H15" s="385"/>
      <c r="I15" s="386"/>
      <c r="J15" s="389"/>
      <c r="K15" s="389"/>
      <c r="L15" s="389"/>
      <c r="M15" s="389"/>
      <c r="N15" s="389"/>
      <c r="O15" s="389"/>
      <c r="P15" s="389"/>
      <c r="Q15" s="389"/>
      <c r="R15" s="389"/>
      <c r="S15" s="389"/>
      <c r="T15" s="389"/>
      <c r="U15" s="389"/>
      <c r="V15" s="389"/>
      <c r="W15" s="389"/>
      <c r="X15" s="389"/>
    </row>
    <row r="16" spans="1:24">
      <c r="A16" s="390"/>
      <c r="B16" s="4898"/>
      <c r="C16" s="4909">
        <v>2020</v>
      </c>
      <c r="D16" s="4905">
        <v>4776</v>
      </c>
      <c r="E16" s="3662" t="s">
        <v>1391</v>
      </c>
      <c r="F16" s="3665">
        <f t="shared" si="1"/>
        <v>5.050505050504972E-3</v>
      </c>
      <c r="G16" s="3664" t="s">
        <v>875</v>
      </c>
      <c r="H16" s="385"/>
      <c r="I16" s="386"/>
      <c r="J16" s="389"/>
      <c r="K16" s="389"/>
      <c r="L16" s="389"/>
      <c r="M16" s="389"/>
      <c r="N16" s="389"/>
      <c r="O16" s="389"/>
      <c r="P16" s="389"/>
      <c r="Q16" s="389"/>
      <c r="R16" s="389"/>
      <c r="S16" s="389"/>
      <c r="T16" s="389"/>
      <c r="U16" s="389"/>
      <c r="V16" s="389"/>
      <c r="W16" s="389"/>
      <c r="X16" s="389"/>
    </row>
    <row r="17" spans="1:24">
      <c r="A17" s="390"/>
      <c r="B17" s="4898"/>
      <c r="C17" s="4908">
        <v>2021</v>
      </c>
      <c r="D17" s="3661">
        <v>4858</v>
      </c>
      <c r="E17" s="3662" t="s">
        <v>1421</v>
      </c>
      <c r="F17" s="3665">
        <f t="shared" si="1"/>
        <v>1.7169179229480802E-2</v>
      </c>
      <c r="G17" s="3664" t="s">
        <v>876</v>
      </c>
      <c r="H17" s="385"/>
      <c r="I17" s="386"/>
      <c r="J17" s="389"/>
      <c r="K17" s="389"/>
      <c r="L17" s="389"/>
      <c r="M17" s="389"/>
      <c r="N17" s="389"/>
      <c r="O17" s="389"/>
      <c r="P17" s="389"/>
      <c r="Q17" s="389"/>
      <c r="R17" s="389"/>
      <c r="S17" s="389"/>
      <c r="T17" s="389"/>
      <c r="U17" s="389"/>
      <c r="V17" s="389"/>
      <c r="W17" s="389"/>
      <c r="X17" s="389"/>
    </row>
    <row r="18" spans="1:24" ht="15" thickBot="1">
      <c r="A18" s="390"/>
      <c r="B18" s="3647"/>
      <c r="C18" s="4910">
        <v>2022</v>
      </c>
      <c r="D18" s="3648">
        <v>5085</v>
      </c>
      <c r="E18" s="3649" t="s">
        <v>1967</v>
      </c>
      <c r="F18" s="3650">
        <f t="shared" si="1"/>
        <v>4.6727048167970464E-2</v>
      </c>
      <c r="G18" s="3651" t="s">
        <v>877</v>
      </c>
      <c r="H18" s="385"/>
      <c r="I18" s="386"/>
      <c r="J18" s="389"/>
      <c r="K18" s="389"/>
      <c r="L18" s="389"/>
      <c r="M18" s="389"/>
      <c r="N18" s="389"/>
      <c r="O18" s="389"/>
      <c r="P18" s="389"/>
      <c r="Q18" s="389"/>
      <c r="R18" s="389"/>
      <c r="S18" s="389"/>
      <c r="T18" s="389"/>
      <c r="U18" s="389"/>
      <c r="V18" s="389"/>
      <c r="W18" s="389"/>
      <c r="X18" s="389"/>
    </row>
    <row r="19" spans="1:24">
      <c r="A19" s="390"/>
      <c r="B19" s="389"/>
      <c r="C19" s="389"/>
      <c r="D19" s="389"/>
      <c r="E19" s="4924" t="s">
        <v>1969</v>
      </c>
      <c r="F19" s="389"/>
      <c r="G19" s="389"/>
      <c r="H19" s="389"/>
      <c r="I19" s="389"/>
      <c r="J19" s="389"/>
      <c r="K19" s="389"/>
      <c r="L19" s="389"/>
      <c r="M19" s="389"/>
      <c r="N19" s="389"/>
      <c r="O19" s="389"/>
      <c r="P19" s="389"/>
      <c r="Q19" s="389"/>
      <c r="R19" s="389"/>
      <c r="S19" s="389"/>
      <c r="T19" s="389"/>
      <c r="U19" s="389"/>
      <c r="V19" s="389"/>
      <c r="W19" s="389"/>
      <c r="X19" s="389"/>
    </row>
    <row r="20" spans="1:24">
      <c r="A20" s="390"/>
      <c r="B20" s="686"/>
      <c r="C20" s="389"/>
      <c r="D20" s="389"/>
      <c r="E20" s="402"/>
      <c r="F20" s="389"/>
      <c r="G20" s="389"/>
      <c r="H20" s="389"/>
      <c r="I20" s="389"/>
      <c r="J20" s="389"/>
      <c r="K20" s="389"/>
      <c r="L20" s="389"/>
      <c r="M20" s="389"/>
      <c r="N20" s="389"/>
      <c r="O20" s="389"/>
      <c r="P20" s="389"/>
      <c r="Q20" s="389"/>
      <c r="R20" s="389"/>
      <c r="S20" s="389"/>
      <c r="T20" s="389"/>
      <c r="U20" s="389"/>
      <c r="V20" s="389"/>
      <c r="W20" s="389"/>
      <c r="X20" s="389"/>
    </row>
    <row r="21" spans="1:24">
      <c r="A21" s="390"/>
      <c r="B21" s="686"/>
      <c r="C21" s="389"/>
      <c r="D21" s="389"/>
      <c r="E21" s="402"/>
      <c r="F21" s="389"/>
      <c r="G21" s="389"/>
      <c r="H21" s="389"/>
      <c r="I21" s="389"/>
      <c r="J21" s="389"/>
      <c r="K21" s="389"/>
      <c r="L21" s="389"/>
      <c r="M21" s="389"/>
      <c r="N21" s="389"/>
      <c r="O21" s="389"/>
      <c r="P21" s="389"/>
      <c r="Q21" s="389"/>
      <c r="R21" s="389"/>
      <c r="S21" s="389"/>
      <c r="T21" s="389"/>
      <c r="U21" s="389"/>
      <c r="V21" s="389"/>
      <c r="W21" s="389"/>
      <c r="X21" s="389"/>
    </row>
    <row r="22" spans="1:24" ht="15" thickBot="1">
      <c r="A22" s="390"/>
      <c r="B22" s="686"/>
      <c r="C22" s="389"/>
      <c r="D22" s="389"/>
      <c r="E22" s="402"/>
      <c r="F22" s="389"/>
      <c r="G22" s="389"/>
      <c r="H22" s="389"/>
      <c r="I22" s="389"/>
      <c r="J22" s="389"/>
      <c r="K22" s="389"/>
      <c r="L22" s="389"/>
      <c r="M22" s="389"/>
      <c r="N22" s="389"/>
      <c r="O22" s="389"/>
      <c r="P22" s="389"/>
      <c r="Q22" s="389"/>
      <c r="R22" s="389"/>
      <c r="S22" s="389"/>
      <c r="T22" s="389"/>
      <c r="U22" s="389"/>
      <c r="V22" s="389"/>
      <c r="W22" s="389"/>
      <c r="X22" s="389"/>
    </row>
    <row r="23" spans="1:24" ht="15" thickBot="1">
      <c r="A23" s="390"/>
      <c r="B23" s="5714" t="s">
        <v>552</v>
      </c>
      <c r="C23" s="397" t="s">
        <v>190</v>
      </c>
      <c r="D23" s="398" t="s">
        <v>191</v>
      </c>
      <c r="E23" s="402"/>
      <c r="F23" s="399" t="s">
        <v>192</v>
      </c>
      <c r="G23" s="389"/>
      <c r="H23" s="389"/>
      <c r="I23" s="389"/>
      <c r="J23" s="389"/>
      <c r="K23" s="389"/>
      <c r="L23" s="389"/>
      <c r="M23" s="389"/>
      <c r="N23" s="389"/>
      <c r="O23" s="389"/>
      <c r="P23" s="389"/>
      <c r="Q23" s="389"/>
      <c r="R23" s="389"/>
      <c r="S23" s="389"/>
      <c r="T23" s="389"/>
      <c r="U23" s="389"/>
      <c r="V23" s="389"/>
      <c r="W23" s="389"/>
      <c r="X23" s="389"/>
    </row>
    <row r="24" spans="1:24" ht="15" thickBot="1">
      <c r="A24" s="390"/>
      <c r="B24" s="5715"/>
      <c r="C24" s="4911">
        <v>4287</v>
      </c>
      <c r="D24" s="4912">
        <v>798</v>
      </c>
      <c r="E24" s="402"/>
      <c r="F24" s="2161">
        <v>5085</v>
      </c>
      <c r="G24" s="389"/>
      <c r="H24" s="389"/>
      <c r="I24" s="389"/>
      <c r="J24" s="389"/>
      <c r="K24" s="389"/>
      <c r="L24" s="389"/>
      <c r="M24" s="389"/>
      <c r="N24" s="389"/>
      <c r="O24" s="389"/>
      <c r="P24" s="389"/>
      <c r="Q24" s="389"/>
      <c r="R24" s="389"/>
      <c r="S24" s="389"/>
      <c r="T24" s="389"/>
      <c r="U24" s="389"/>
      <c r="V24" s="389"/>
      <c r="W24" s="389"/>
      <c r="X24" s="389"/>
    </row>
    <row r="25" spans="1:24">
      <c r="A25" s="390"/>
      <c r="B25" s="389"/>
      <c r="C25" s="400">
        <f>C24/F24</f>
        <v>0.84306784660766965</v>
      </c>
      <c r="D25" s="400">
        <f>D24/F24</f>
        <v>0.15693215339233038</v>
      </c>
      <c r="E25" s="402"/>
      <c r="F25" s="390"/>
      <c r="G25" s="389"/>
      <c r="H25" s="389"/>
      <c r="I25" s="389"/>
      <c r="J25" s="389"/>
      <c r="K25" s="389"/>
      <c r="L25" s="389"/>
      <c r="M25" s="389"/>
      <c r="N25" s="389"/>
      <c r="O25" s="389"/>
      <c r="P25" s="389"/>
      <c r="Q25" s="389"/>
      <c r="R25" s="389"/>
      <c r="S25" s="389"/>
      <c r="T25" s="389"/>
      <c r="U25" s="389"/>
      <c r="V25" s="389"/>
      <c r="W25" s="389"/>
      <c r="X25" s="389"/>
    </row>
    <row r="26" spans="1:24">
      <c r="A26" s="390"/>
      <c r="B26" s="389" t="s">
        <v>885</v>
      </c>
      <c r="C26" s="389"/>
      <c r="D26" s="389"/>
      <c r="E26" s="389"/>
      <c r="F26" s="389"/>
      <c r="G26" s="389"/>
      <c r="H26" s="389"/>
      <c r="I26" s="389"/>
      <c r="J26" s="389"/>
      <c r="K26" s="389"/>
      <c r="L26" s="389"/>
      <c r="M26" s="389"/>
      <c r="N26" s="389"/>
      <c r="O26" s="389"/>
      <c r="P26" s="389"/>
      <c r="Q26" s="389"/>
      <c r="R26" s="389"/>
      <c r="S26" s="389"/>
      <c r="T26" s="389"/>
      <c r="U26" s="389"/>
      <c r="V26" s="389"/>
      <c r="W26" s="389"/>
      <c r="X26" s="389"/>
    </row>
    <row r="27" spans="1:24">
      <c r="A27" s="390"/>
      <c r="B27" s="389"/>
      <c r="C27" s="400"/>
      <c r="D27" s="400"/>
      <c r="E27" s="389"/>
      <c r="F27" s="389"/>
      <c r="G27" s="389"/>
      <c r="H27" s="389"/>
      <c r="I27" s="389"/>
      <c r="J27" s="389"/>
      <c r="K27" s="389"/>
      <c r="L27" s="389"/>
      <c r="M27" s="389"/>
      <c r="N27" s="389"/>
      <c r="O27" s="389"/>
      <c r="P27" s="389"/>
      <c r="Q27" s="389"/>
      <c r="R27" s="389"/>
      <c r="S27" s="389"/>
      <c r="T27" s="389"/>
      <c r="U27" s="389"/>
      <c r="V27" s="389"/>
      <c r="W27" s="389"/>
      <c r="X27" s="389"/>
    </row>
    <row r="28" spans="1:24">
      <c r="A28" s="253"/>
      <c r="B28" s="2160" t="s">
        <v>823</v>
      </c>
      <c r="C28" s="389"/>
      <c r="D28" s="389"/>
      <c r="E28" s="48"/>
      <c r="F28" s="48"/>
      <c r="G28" s="48"/>
      <c r="H28" s="48"/>
      <c r="I28" s="48"/>
      <c r="J28" s="48"/>
      <c r="K28" s="48"/>
      <c r="L28" s="48"/>
      <c r="M28" s="48"/>
      <c r="N28" s="48"/>
      <c r="O28" s="48"/>
      <c r="P28" s="48"/>
      <c r="Q28" s="48"/>
      <c r="R28" s="48"/>
      <c r="S28" s="48"/>
      <c r="T28" s="48"/>
      <c r="U28" s="48"/>
      <c r="V28" s="48"/>
      <c r="W28" s="48"/>
      <c r="X28" s="48"/>
    </row>
    <row r="29" spans="1:24">
      <c r="A29" s="253"/>
      <c r="B29" s="48"/>
      <c r="C29" s="48"/>
      <c r="D29" s="48"/>
      <c r="E29" s="48"/>
      <c r="F29" s="48"/>
      <c r="G29" s="48"/>
      <c r="H29" s="48"/>
      <c r="I29" s="48"/>
      <c r="J29" s="48"/>
      <c r="K29" s="48"/>
      <c r="L29" s="48"/>
      <c r="M29" s="48"/>
      <c r="N29" s="48"/>
      <c r="O29" s="48"/>
      <c r="P29" s="48"/>
      <c r="Q29" s="48"/>
      <c r="R29" s="48"/>
      <c r="S29" s="48"/>
      <c r="T29" s="48"/>
      <c r="U29" s="48"/>
      <c r="V29" s="48"/>
      <c r="W29" s="48"/>
      <c r="X29" s="48"/>
    </row>
    <row r="30" spans="1:24">
      <c r="A30" s="253"/>
      <c r="B30" s="48"/>
      <c r="C30" s="48"/>
      <c r="D30" s="48"/>
      <c r="E30" s="48"/>
      <c r="F30" s="48"/>
      <c r="G30" s="48"/>
      <c r="H30" s="48"/>
      <c r="I30" s="48"/>
      <c r="J30" s="48"/>
      <c r="K30" s="48"/>
      <c r="L30" s="48"/>
      <c r="M30" s="48"/>
      <c r="N30" s="48"/>
      <c r="O30" s="48"/>
      <c r="P30" s="48"/>
      <c r="Q30" s="48"/>
      <c r="R30" s="48"/>
      <c r="S30" s="48"/>
      <c r="T30" s="48"/>
      <c r="U30" s="48"/>
      <c r="V30" s="48"/>
      <c r="W30" s="48"/>
      <c r="X30" s="48"/>
    </row>
    <row r="31" spans="1:24">
      <c r="A31" s="253"/>
      <c r="B31" s="48"/>
      <c r="C31" s="48"/>
      <c r="D31" s="48"/>
      <c r="E31" s="48"/>
      <c r="F31" s="48"/>
      <c r="G31" s="48"/>
      <c r="H31" s="48"/>
      <c r="I31" s="48"/>
      <c r="J31" s="48"/>
      <c r="K31" s="48"/>
      <c r="L31" s="48"/>
      <c r="M31" s="48"/>
      <c r="N31" s="48"/>
      <c r="O31" s="48"/>
      <c r="P31" s="48"/>
      <c r="Q31" s="48"/>
      <c r="R31" s="48"/>
      <c r="S31" s="48"/>
      <c r="T31" s="48"/>
      <c r="U31" s="48"/>
      <c r="V31" s="48"/>
      <c r="W31" s="48"/>
      <c r="X31" s="48"/>
    </row>
    <row r="32" spans="1:24">
      <c r="A32" s="253"/>
      <c r="B32" s="48"/>
      <c r="C32" s="48"/>
      <c r="D32" s="48"/>
      <c r="E32" s="48"/>
      <c r="F32" s="48"/>
      <c r="G32" s="48"/>
      <c r="H32" s="48"/>
      <c r="I32" s="48"/>
      <c r="J32" s="48"/>
      <c r="K32" s="48"/>
      <c r="L32" s="48"/>
      <c r="M32" s="48"/>
      <c r="N32" s="48"/>
      <c r="O32" s="48"/>
      <c r="P32" s="48"/>
      <c r="Q32" s="48"/>
      <c r="R32" s="48"/>
      <c r="S32" s="48"/>
      <c r="T32" s="48"/>
      <c r="U32" s="48"/>
      <c r="V32" s="48"/>
      <c r="W32" s="48"/>
      <c r="X32" s="48"/>
    </row>
    <row r="33" spans="1:24">
      <c r="A33" s="253"/>
      <c r="B33" s="48"/>
      <c r="C33" s="48"/>
      <c r="D33" s="48"/>
      <c r="E33" s="48"/>
      <c r="F33" s="48"/>
      <c r="G33" s="48"/>
      <c r="H33" s="48"/>
      <c r="I33" s="48"/>
      <c r="J33" s="48"/>
      <c r="K33" s="686"/>
      <c r="L33" s="48"/>
      <c r="M33" s="48"/>
      <c r="N33" s="48"/>
      <c r="O33" s="48"/>
      <c r="P33" s="48"/>
      <c r="Q33" s="48"/>
      <c r="R33" s="48"/>
      <c r="S33" s="48"/>
      <c r="T33" s="48"/>
      <c r="U33" s="48"/>
      <c r="V33" s="48"/>
      <c r="W33" s="48"/>
      <c r="X33" s="48"/>
    </row>
    <row r="34" spans="1:24">
      <c r="A34" s="253"/>
      <c r="B34" s="48"/>
      <c r="C34" s="48"/>
      <c r="D34" s="48"/>
      <c r="E34" s="48"/>
      <c r="F34" s="48"/>
      <c r="G34" s="48"/>
      <c r="H34" s="48"/>
      <c r="I34" s="48"/>
      <c r="J34" s="48"/>
      <c r="K34" s="48"/>
      <c r="L34" s="48"/>
      <c r="M34" s="48"/>
      <c r="N34" s="48"/>
      <c r="O34" s="48"/>
      <c r="P34" s="48"/>
      <c r="Q34" s="48"/>
      <c r="R34" s="48"/>
      <c r="S34" s="48"/>
      <c r="T34" s="48"/>
      <c r="U34" s="48"/>
      <c r="V34" s="48"/>
      <c r="W34" s="48"/>
      <c r="X34" s="48"/>
    </row>
    <row r="35" spans="1:24">
      <c r="A35" s="253"/>
      <c r="B35" s="48"/>
      <c r="C35" s="48"/>
      <c r="D35" s="48"/>
      <c r="E35" s="48"/>
      <c r="F35" s="48"/>
      <c r="G35" s="48"/>
      <c r="H35" s="48"/>
      <c r="I35" s="48"/>
      <c r="J35" s="48"/>
      <c r="K35" s="48"/>
      <c r="L35" s="48"/>
      <c r="M35" s="48"/>
      <c r="N35" s="48"/>
      <c r="O35" s="48"/>
      <c r="P35" s="48"/>
      <c r="Q35" s="48"/>
      <c r="R35" s="48"/>
      <c r="S35" s="48"/>
      <c r="T35" s="48"/>
      <c r="U35" s="48"/>
      <c r="V35" s="48"/>
      <c r="W35" s="48"/>
      <c r="X35" s="48"/>
    </row>
    <row r="36" spans="1:24">
      <c r="A36" s="253"/>
      <c r="B36" s="48"/>
      <c r="C36" s="48"/>
      <c r="D36" s="48"/>
      <c r="E36" s="48"/>
      <c r="F36" s="48"/>
      <c r="G36" s="48"/>
      <c r="H36" s="48"/>
      <c r="I36" s="48"/>
      <c r="J36" s="48"/>
      <c r="K36" s="48"/>
      <c r="L36" s="48"/>
      <c r="M36" s="48"/>
      <c r="N36" s="48"/>
      <c r="O36" s="48"/>
      <c r="P36" s="48"/>
      <c r="Q36" s="48"/>
      <c r="R36" s="48"/>
      <c r="S36" s="48"/>
      <c r="T36" s="48"/>
      <c r="U36" s="48"/>
      <c r="V36" s="48"/>
      <c r="W36" s="48"/>
      <c r="X36" s="48"/>
    </row>
    <row r="37" spans="1:24">
      <c r="A37" s="253"/>
      <c r="B37" s="48"/>
      <c r="C37" s="48"/>
      <c r="D37" s="48"/>
      <c r="E37" s="48"/>
      <c r="F37" s="48"/>
      <c r="G37" s="48"/>
      <c r="H37" s="48"/>
      <c r="I37" s="48"/>
      <c r="J37" s="48"/>
      <c r="K37" s="48"/>
      <c r="L37" s="48"/>
      <c r="M37" s="48"/>
      <c r="N37" s="48"/>
      <c r="O37" s="48"/>
      <c r="P37" s="48"/>
      <c r="Q37" s="48"/>
      <c r="R37" s="48"/>
      <c r="S37" s="48"/>
      <c r="T37" s="48"/>
      <c r="U37" s="48"/>
      <c r="V37" s="48"/>
      <c r="W37" s="48"/>
      <c r="X37" s="48"/>
    </row>
    <row r="38" spans="1:24">
      <c r="A38" s="253"/>
      <c r="B38" s="48"/>
      <c r="C38" s="48"/>
      <c r="D38" s="48"/>
      <c r="E38" s="48"/>
      <c r="F38" s="48"/>
      <c r="G38" s="48"/>
      <c r="H38" s="48"/>
      <c r="I38" s="48"/>
      <c r="J38" s="48"/>
      <c r="K38" s="48"/>
      <c r="L38" s="48"/>
      <c r="M38" s="48"/>
      <c r="N38" s="48"/>
      <c r="O38" s="48"/>
      <c r="P38" s="48"/>
      <c r="Q38" s="48"/>
      <c r="R38" s="48"/>
      <c r="S38" s="48"/>
      <c r="T38" s="48"/>
      <c r="U38" s="48"/>
      <c r="V38" s="48"/>
      <c r="W38" s="48"/>
      <c r="X38" s="48"/>
    </row>
    <row r="39" spans="1:24">
      <c r="A39" s="253"/>
      <c r="B39" s="48"/>
      <c r="C39" s="48"/>
      <c r="D39" s="48"/>
      <c r="E39" s="48"/>
      <c r="F39" s="48"/>
      <c r="G39" s="48"/>
      <c r="H39" s="48"/>
      <c r="I39" s="48"/>
      <c r="J39" s="48"/>
      <c r="K39" s="48"/>
      <c r="L39" s="48"/>
      <c r="M39" s="48"/>
      <c r="N39" s="48"/>
      <c r="O39" s="48"/>
      <c r="P39" s="48"/>
      <c r="Q39" s="48"/>
      <c r="R39" s="48"/>
      <c r="S39" s="48"/>
      <c r="T39" s="48"/>
      <c r="U39" s="48"/>
      <c r="V39" s="48"/>
      <c r="W39" s="48"/>
      <c r="X39" s="48"/>
    </row>
    <row r="40" spans="1:24">
      <c r="A40" s="253"/>
      <c r="B40" s="48"/>
      <c r="C40" s="48"/>
      <c r="D40" s="48"/>
      <c r="E40" s="48"/>
      <c r="F40" s="48"/>
      <c r="G40" s="48"/>
      <c r="H40" s="48"/>
      <c r="I40" s="48"/>
      <c r="J40" s="48"/>
      <c r="K40" s="48"/>
      <c r="L40" s="48"/>
      <c r="M40" s="48"/>
      <c r="N40" s="48"/>
      <c r="O40" s="48"/>
      <c r="P40" s="48"/>
      <c r="Q40" s="48"/>
      <c r="R40" s="48"/>
      <c r="S40" s="48"/>
      <c r="T40" s="48"/>
      <c r="U40" s="48"/>
      <c r="V40" s="48"/>
      <c r="W40" s="48"/>
      <c r="X40" s="48"/>
    </row>
    <row r="41" spans="1:24">
      <c r="A41" s="253"/>
      <c r="B41" s="48"/>
      <c r="C41" s="48"/>
      <c r="D41" s="48"/>
      <c r="E41" s="48"/>
      <c r="F41" s="48"/>
      <c r="G41" s="48"/>
      <c r="H41" s="48"/>
      <c r="I41" s="48"/>
      <c r="J41" s="48"/>
      <c r="K41" s="48"/>
      <c r="L41" s="48"/>
      <c r="M41" s="48"/>
      <c r="N41" s="48"/>
      <c r="O41" s="48"/>
      <c r="P41" s="48"/>
      <c r="Q41" s="48"/>
      <c r="R41" s="48"/>
      <c r="S41" s="48"/>
      <c r="T41" s="48"/>
      <c r="U41" s="48"/>
      <c r="V41" s="48"/>
      <c r="W41" s="48"/>
      <c r="X41" s="48"/>
    </row>
    <row r="42" spans="1:24">
      <c r="A42" s="253"/>
      <c r="B42" s="48"/>
      <c r="C42" s="48"/>
      <c r="D42" s="48"/>
      <c r="E42" s="48"/>
      <c r="F42" s="48"/>
      <c r="G42" s="48"/>
      <c r="H42" s="48"/>
      <c r="I42" s="48"/>
      <c r="J42" s="48"/>
      <c r="K42" s="48"/>
      <c r="L42" s="48"/>
      <c r="M42" s="48"/>
      <c r="N42" s="48"/>
      <c r="O42" s="48"/>
      <c r="P42" s="48"/>
      <c r="Q42" s="48"/>
      <c r="R42" s="48"/>
      <c r="S42" s="48"/>
      <c r="T42" s="48"/>
      <c r="U42" s="48"/>
      <c r="V42" s="48"/>
      <c r="W42" s="48"/>
      <c r="X42" s="48"/>
    </row>
    <row r="43" spans="1:24">
      <c r="A43" s="253"/>
      <c r="B43" s="48"/>
      <c r="C43" s="48"/>
      <c r="D43" s="48"/>
      <c r="E43" s="48"/>
      <c r="F43" s="48"/>
      <c r="G43" s="48"/>
      <c r="H43" s="48"/>
      <c r="I43" s="48"/>
      <c r="J43" s="48"/>
      <c r="K43" s="48"/>
      <c r="L43" s="48"/>
      <c r="M43" s="48"/>
      <c r="N43" s="48"/>
      <c r="O43" s="48"/>
      <c r="P43" s="48"/>
      <c r="Q43" s="48"/>
      <c r="R43" s="48"/>
      <c r="S43" s="48"/>
      <c r="T43" s="48"/>
      <c r="U43" s="48"/>
      <c r="V43" s="48"/>
      <c r="W43" s="48"/>
      <c r="X43" s="48"/>
    </row>
    <row r="44" spans="1:24">
      <c r="A44" s="253"/>
      <c r="B44" s="48"/>
      <c r="C44" s="48"/>
      <c r="D44" s="48"/>
      <c r="E44" s="48"/>
      <c r="F44" s="48"/>
      <c r="G44" s="48"/>
      <c r="H44" s="48"/>
      <c r="I44" s="48"/>
      <c r="J44" s="48"/>
      <c r="K44" s="48"/>
      <c r="L44" s="48"/>
      <c r="M44" s="48"/>
      <c r="N44" s="48"/>
      <c r="O44" s="48"/>
      <c r="P44" s="48"/>
      <c r="Q44" s="48"/>
      <c r="R44" s="48"/>
      <c r="S44" s="48"/>
      <c r="T44" s="48"/>
      <c r="U44" s="48"/>
      <c r="V44" s="48"/>
      <c r="W44" s="48"/>
      <c r="X44" s="48"/>
    </row>
    <row r="45" spans="1:24">
      <c r="A45" s="253"/>
      <c r="B45" s="48"/>
      <c r="C45" s="48"/>
      <c r="D45" s="48"/>
      <c r="E45" s="48"/>
      <c r="F45" s="48"/>
      <c r="G45" s="48"/>
      <c r="H45" s="48"/>
      <c r="I45" s="48"/>
      <c r="J45" s="48"/>
      <c r="K45" s="48"/>
      <c r="L45" s="48"/>
      <c r="M45" s="48"/>
      <c r="N45" s="48"/>
      <c r="O45" s="48"/>
      <c r="P45" s="48"/>
      <c r="Q45" s="48"/>
      <c r="R45" s="48"/>
      <c r="S45" s="48"/>
      <c r="T45" s="48"/>
      <c r="U45" s="48"/>
      <c r="V45" s="48"/>
      <c r="W45" s="48"/>
      <c r="X45" s="48"/>
    </row>
  </sheetData>
  <mergeCells count="3">
    <mergeCell ref="B4:B15"/>
    <mergeCell ref="B23:B24"/>
    <mergeCell ref="F3:G3"/>
  </mergeCells>
  <phoneticPr fontId="11" type="noConversion"/>
  <hyperlinks>
    <hyperlink ref="B28" r:id="rId1" xr:uid="{00000000-0004-0000-1900-000000000000}"/>
  </hyperlinks>
  <pageMargins left="0.70866141732283472" right="0.70866141732283472" top="0.74803149606299213" bottom="0.74803149606299213" header="0.31496062992125984" footer="0.31496062992125984"/>
  <pageSetup scale="37" orientation="landscape" verticalDpi="597"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Z61"/>
  <sheetViews>
    <sheetView topLeftCell="B1" zoomScaleNormal="100" workbookViewId="0">
      <selection activeCell="C22" sqref="C22:J59"/>
    </sheetView>
  </sheetViews>
  <sheetFormatPr baseColWidth="10" defaultColWidth="12.33203125" defaultRowHeight="14.4"/>
  <cols>
    <col min="1" max="1" width="38.21875" hidden="1" customWidth="1"/>
    <col min="2" max="2" width="58.6640625" customWidth="1"/>
    <col min="3" max="9" width="9.44140625" bestFit="1" customWidth="1"/>
    <col min="10" max="10" width="9.77734375" bestFit="1" customWidth="1"/>
    <col min="11" max="11" width="27.5546875" customWidth="1"/>
    <col min="12" max="12" width="11" bestFit="1" customWidth="1"/>
  </cols>
  <sheetData>
    <row r="1" spans="1:20" ht="21">
      <c r="A1" s="5048"/>
      <c r="B1" s="1067" t="s">
        <v>1973</v>
      </c>
      <c r="C1" s="708"/>
      <c r="D1" s="708"/>
      <c r="E1" s="708"/>
      <c r="F1" s="708"/>
      <c r="G1" s="708"/>
      <c r="H1" s="708"/>
      <c r="I1" s="708"/>
      <c r="J1" s="708"/>
      <c r="K1" s="708"/>
      <c r="L1" s="708"/>
      <c r="M1" s="708"/>
      <c r="N1" s="708"/>
      <c r="O1" s="708"/>
      <c r="P1" s="708"/>
      <c r="Q1" s="708"/>
      <c r="R1" s="708"/>
      <c r="S1" s="708"/>
      <c r="T1" s="708"/>
    </row>
    <row r="2" spans="1:20">
      <c r="A2" s="5048"/>
      <c r="B2" s="388"/>
      <c r="C2" s="388"/>
      <c r="D2" s="388"/>
      <c r="E2" s="388"/>
      <c r="F2" s="388"/>
      <c r="G2" s="388"/>
      <c r="H2" s="388"/>
      <c r="I2" s="388"/>
      <c r="J2" s="388"/>
      <c r="K2" s="388"/>
      <c r="L2" s="388"/>
      <c r="M2" s="388"/>
      <c r="N2" s="388"/>
      <c r="O2" s="388"/>
      <c r="P2" s="388"/>
      <c r="Q2" s="388"/>
      <c r="R2" s="37"/>
      <c r="S2" s="37"/>
      <c r="T2" s="37"/>
    </row>
    <row r="3" spans="1:20">
      <c r="A3" s="5048"/>
      <c r="B3" s="388"/>
      <c r="C3" s="388"/>
      <c r="D3" s="388"/>
      <c r="E3" s="388"/>
      <c r="F3" s="388"/>
      <c r="G3" s="388"/>
      <c r="H3" s="388"/>
      <c r="I3" s="388"/>
      <c r="J3" s="388"/>
      <c r="K3" s="388"/>
      <c r="L3" s="388"/>
      <c r="M3" s="388"/>
      <c r="N3" s="388"/>
      <c r="O3" s="388"/>
      <c r="P3" s="388"/>
      <c r="Q3" s="388"/>
      <c r="R3" s="37"/>
      <c r="S3" s="37"/>
      <c r="T3" s="37"/>
    </row>
    <row r="4" spans="1:20">
      <c r="A4" s="5048"/>
      <c r="B4" s="388"/>
      <c r="C4" s="388"/>
      <c r="D4" s="388"/>
      <c r="E4" s="388"/>
      <c r="F4" s="388"/>
      <c r="G4" s="388"/>
      <c r="H4" s="388"/>
      <c r="I4" s="388"/>
      <c r="J4" s="388"/>
      <c r="K4" s="388"/>
      <c r="L4" s="388"/>
      <c r="M4" s="388"/>
      <c r="N4" s="388"/>
      <c r="O4" s="388"/>
      <c r="P4" s="388"/>
      <c r="Q4" s="388"/>
      <c r="R4" s="37"/>
      <c r="S4" s="37"/>
      <c r="T4" s="37"/>
    </row>
    <row r="5" spans="1:20">
      <c r="A5" s="5048"/>
      <c r="B5" s="2051" t="s">
        <v>301</v>
      </c>
      <c r="C5" s="2051">
        <v>2015</v>
      </c>
      <c r="D5" s="2051">
        <v>2016</v>
      </c>
      <c r="E5" s="2051">
        <v>2017</v>
      </c>
      <c r="F5" s="2051">
        <v>2018</v>
      </c>
      <c r="G5" s="2051">
        <v>2019</v>
      </c>
      <c r="H5" s="2051">
        <v>2020</v>
      </c>
      <c r="I5" s="2051">
        <v>2021</v>
      </c>
      <c r="J5" s="5074">
        <v>2022</v>
      </c>
      <c r="K5" s="5075"/>
      <c r="L5" s="5069" t="s">
        <v>1972</v>
      </c>
      <c r="M5" s="389"/>
      <c r="N5" s="389"/>
      <c r="O5" s="389"/>
      <c r="P5" s="388"/>
      <c r="Q5" s="388"/>
      <c r="R5" s="37"/>
      <c r="S5" s="37"/>
      <c r="T5" s="37"/>
    </row>
    <row r="6" spans="1:20">
      <c r="A6" s="5048"/>
      <c r="B6" s="674" t="s">
        <v>276</v>
      </c>
      <c r="C6" s="674">
        <v>713</v>
      </c>
      <c r="D6" s="674">
        <v>721</v>
      </c>
      <c r="E6" s="674">
        <v>653</v>
      </c>
      <c r="F6" s="674">
        <v>684</v>
      </c>
      <c r="G6" s="674">
        <v>736</v>
      </c>
      <c r="H6" s="674">
        <v>737</v>
      </c>
      <c r="I6" s="674">
        <v>735</v>
      </c>
      <c r="J6" s="5082">
        <v>723</v>
      </c>
      <c r="K6" s="5076" t="s">
        <v>276</v>
      </c>
      <c r="L6" s="4917">
        <f>J6/J12</f>
        <v>0.14218289085545724</v>
      </c>
      <c r="M6" s="389"/>
      <c r="N6" s="389"/>
      <c r="O6" s="389"/>
      <c r="P6" s="388"/>
      <c r="Q6" s="388"/>
      <c r="R6" s="37"/>
      <c r="S6" s="37"/>
      <c r="T6" s="37"/>
    </row>
    <row r="7" spans="1:20">
      <c r="A7" s="5048"/>
      <c r="B7" s="674" t="s">
        <v>267</v>
      </c>
      <c r="C7" s="674">
        <v>189</v>
      </c>
      <c r="D7" s="674">
        <v>184</v>
      </c>
      <c r="E7" s="674">
        <v>197</v>
      </c>
      <c r="F7" s="674">
        <v>174</v>
      </c>
      <c r="G7" s="674">
        <v>205</v>
      </c>
      <c r="H7" s="674">
        <v>212</v>
      </c>
      <c r="I7" s="674">
        <v>61</v>
      </c>
      <c r="J7" s="5083">
        <v>72</v>
      </c>
      <c r="K7" s="5076" t="s">
        <v>267</v>
      </c>
      <c r="L7" s="4917">
        <f>J7/J12</f>
        <v>1.415929203539823E-2</v>
      </c>
      <c r="M7" s="389"/>
      <c r="N7" s="389"/>
      <c r="O7" s="389"/>
      <c r="P7" s="388"/>
      <c r="Q7" s="388"/>
      <c r="R7" s="37"/>
      <c r="S7" s="37"/>
      <c r="T7" s="37"/>
    </row>
    <row r="8" spans="1:20">
      <c r="A8" s="5048"/>
      <c r="B8" s="674" t="s">
        <v>268</v>
      </c>
      <c r="C8" s="674">
        <v>102</v>
      </c>
      <c r="D8" s="674">
        <v>110</v>
      </c>
      <c r="E8" s="674">
        <v>125</v>
      </c>
      <c r="F8" s="674">
        <v>93</v>
      </c>
      <c r="G8" s="674">
        <v>103</v>
      </c>
      <c r="H8" s="674">
        <v>103</v>
      </c>
      <c r="I8" s="674">
        <v>106</v>
      </c>
      <c r="J8" s="5082">
        <v>113</v>
      </c>
      <c r="K8" s="5076" t="s">
        <v>268</v>
      </c>
      <c r="L8" s="4917">
        <f>J8/J12</f>
        <v>2.2222222222222223E-2</v>
      </c>
      <c r="M8" s="389"/>
      <c r="N8" s="389"/>
      <c r="O8" s="389"/>
      <c r="P8" s="388"/>
      <c r="Q8" s="388"/>
      <c r="R8" s="37"/>
      <c r="S8" s="37"/>
      <c r="T8" s="37"/>
    </row>
    <row r="9" spans="1:20">
      <c r="A9" s="5048"/>
      <c r="B9" s="674" t="s">
        <v>303</v>
      </c>
      <c r="C9" s="674">
        <v>3486</v>
      </c>
      <c r="D9" s="674">
        <v>3434</v>
      </c>
      <c r="E9" s="674">
        <v>3517</v>
      </c>
      <c r="F9" s="674">
        <v>2786</v>
      </c>
      <c r="G9" s="674">
        <v>2978</v>
      </c>
      <c r="H9" s="674">
        <v>2989</v>
      </c>
      <c r="I9" s="674">
        <v>3199</v>
      </c>
      <c r="J9" s="5083">
        <v>3386</v>
      </c>
      <c r="K9" s="5076" t="s">
        <v>303</v>
      </c>
      <c r="L9" s="4917">
        <f>J9/J12</f>
        <v>0.66588003933136675</v>
      </c>
      <c r="M9" s="389"/>
      <c r="N9" s="389"/>
      <c r="O9" s="389"/>
      <c r="P9" s="388"/>
      <c r="Q9" s="388"/>
      <c r="R9" s="37"/>
      <c r="S9" s="37"/>
      <c r="T9" s="37"/>
    </row>
    <row r="10" spans="1:20" ht="19.2">
      <c r="A10" s="5048"/>
      <c r="B10" s="674" t="s">
        <v>765</v>
      </c>
      <c r="C10" s="674">
        <v>722</v>
      </c>
      <c r="D10" s="674">
        <v>660</v>
      </c>
      <c r="E10" s="674">
        <v>739</v>
      </c>
      <c r="F10" s="674">
        <v>644</v>
      </c>
      <c r="G10" s="674">
        <v>730</v>
      </c>
      <c r="H10" s="674">
        <v>735</v>
      </c>
      <c r="I10" s="674">
        <v>756</v>
      </c>
      <c r="J10" s="5082">
        <v>790</v>
      </c>
      <c r="K10" s="5076" t="s">
        <v>765</v>
      </c>
      <c r="L10" s="4917">
        <f>J10/J12</f>
        <v>0.15535889872173059</v>
      </c>
      <c r="M10" s="389"/>
      <c r="N10" s="389"/>
      <c r="O10" s="389"/>
      <c r="P10" s="388"/>
      <c r="Q10" s="388"/>
      <c r="R10" s="388"/>
      <c r="S10" s="388"/>
      <c r="T10" s="388"/>
    </row>
    <row r="11" spans="1:20">
      <c r="A11" s="5048"/>
      <c r="B11" s="674" t="s">
        <v>1423</v>
      </c>
      <c r="C11" s="674"/>
      <c r="D11" s="674"/>
      <c r="E11" s="674"/>
      <c r="F11" s="674"/>
      <c r="G11" s="674"/>
      <c r="H11" s="674"/>
      <c r="I11" s="674">
        <v>1</v>
      </c>
      <c r="J11" s="5082">
        <v>1</v>
      </c>
      <c r="K11" s="5076" t="s">
        <v>1423</v>
      </c>
      <c r="L11" s="4917">
        <f>J11/J12</f>
        <v>1.9665683382497542E-4</v>
      </c>
      <c r="M11" s="389"/>
      <c r="N11" s="389"/>
      <c r="O11" s="389"/>
      <c r="P11" s="388"/>
      <c r="Q11" s="388"/>
      <c r="R11" s="388"/>
      <c r="S11" s="388"/>
      <c r="T11" s="388"/>
    </row>
    <row r="12" spans="1:20">
      <c r="A12" s="5048"/>
      <c r="B12" s="2052" t="s">
        <v>53</v>
      </c>
      <c r="C12" s="2052">
        <f>SUM(C6:C11)</f>
        <v>5212</v>
      </c>
      <c r="D12" s="2052">
        <f t="shared" ref="D12:J12" si="0">SUM(D6:D11)</f>
        <v>5109</v>
      </c>
      <c r="E12" s="2052">
        <f t="shared" si="0"/>
        <v>5231</v>
      </c>
      <c r="F12" s="2052">
        <f t="shared" si="0"/>
        <v>4381</v>
      </c>
      <c r="G12" s="2983">
        <f t="shared" si="0"/>
        <v>4752</v>
      </c>
      <c r="H12" s="2983">
        <f t="shared" si="0"/>
        <v>4776</v>
      </c>
      <c r="I12" s="2052">
        <f t="shared" si="0"/>
        <v>4858</v>
      </c>
      <c r="J12" s="4913">
        <f t="shared" si="0"/>
        <v>5085</v>
      </c>
      <c r="K12" s="5076"/>
      <c r="L12" s="400"/>
      <c r="M12" s="389"/>
      <c r="N12" s="389"/>
      <c r="O12" s="389"/>
      <c r="P12" s="388"/>
      <c r="Q12" s="388"/>
      <c r="R12" s="388"/>
      <c r="S12" s="388"/>
      <c r="T12" s="388"/>
    </row>
    <row r="13" spans="1:20">
      <c r="A13" s="5048"/>
      <c r="B13" s="2162"/>
      <c r="C13" s="2162"/>
      <c r="D13" s="2162"/>
      <c r="E13" s="2162"/>
      <c r="F13" s="2162"/>
      <c r="G13" s="2162"/>
      <c r="H13" s="2162"/>
      <c r="I13" s="388"/>
      <c r="J13" s="388"/>
      <c r="K13" s="388"/>
      <c r="L13" s="388"/>
      <c r="M13" s="389"/>
      <c r="N13" s="389"/>
      <c r="O13" s="389"/>
      <c r="P13" s="388"/>
      <c r="Q13" s="388"/>
      <c r="R13" s="388"/>
      <c r="S13" s="388"/>
      <c r="T13" s="388"/>
    </row>
    <row r="14" spans="1:20">
      <c r="A14" s="5048"/>
      <c r="B14" s="2162"/>
      <c r="C14" s="2162"/>
      <c r="D14" s="2162"/>
      <c r="E14" s="2162"/>
      <c r="F14" s="2162"/>
      <c r="G14" s="2162"/>
      <c r="H14" s="2162"/>
      <c r="I14" s="396"/>
      <c r="J14" s="396"/>
      <c r="K14" s="389"/>
      <c r="L14" s="389"/>
      <c r="M14" s="389"/>
      <c r="N14" s="389"/>
      <c r="O14" s="389"/>
      <c r="P14" s="388"/>
      <c r="Q14" s="388"/>
      <c r="R14" s="388"/>
      <c r="S14" s="388"/>
      <c r="T14" s="388"/>
    </row>
    <row r="15" spans="1:20">
      <c r="A15" s="5048"/>
      <c r="B15" s="4924" t="s">
        <v>1969</v>
      </c>
      <c r="C15" s="2282"/>
      <c r="D15" s="2282"/>
      <c r="E15" s="2282"/>
      <c r="F15" s="2282"/>
      <c r="G15" s="2282"/>
      <c r="H15" s="2282"/>
      <c r="I15" s="2283"/>
      <c r="J15" s="2283"/>
      <c r="K15" s="2284"/>
      <c r="L15" s="2284"/>
      <c r="M15" s="2284"/>
      <c r="N15" s="2284"/>
      <c r="O15" s="2284"/>
      <c r="P15" s="2284"/>
      <c r="Q15" s="2284"/>
      <c r="R15" s="2284"/>
      <c r="S15" s="2284"/>
      <c r="T15" s="2284"/>
    </row>
    <row r="16" spans="1:20">
      <c r="A16" s="5048"/>
      <c r="B16" s="396"/>
      <c r="C16" s="396"/>
      <c r="D16" s="396"/>
      <c r="E16" s="396"/>
      <c r="F16" s="396"/>
      <c r="G16" s="396"/>
      <c r="H16" s="396"/>
      <c r="I16" s="396"/>
      <c r="J16" s="396"/>
      <c r="K16" s="388"/>
      <c r="L16" s="388"/>
      <c r="M16" s="388"/>
      <c r="N16" s="388"/>
      <c r="O16" s="388"/>
      <c r="P16" s="388"/>
      <c r="Q16" s="388"/>
      <c r="R16" s="388"/>
      <c r="S16" s="388"/>
      <c r="T16" s="388"/>
    </row>
    <row r="17" spans="1:26">
      <c r="A17" s="5048"/>
      <c r="B17" s="396"/>
      <c r="C17" s="396"/>
      <c r="D17" s="396"/>
      <c r="E17" s="396"/>
      <c r="F17" s="396"/>
      <c r="G17" s="396"/>
      <c r="H17" s="396"/>
      <c r="I17" s="396"/>
      <c r="J17" s="396"/>
      <c r="K17" s="388"/>
      <c r="L17" s="388"/>
      <c r="M17" s="388"/>
      <c r="N17" s="388"/>
      <c r="O17" s="388"/>
      <c r="P17" s="388"/>
      <c r="Q17" s="388"/>
      <c r="R17" s="388"/>
      <c r="S17" s="388"/>
      <c r="T17" s="388"/>
    </row>
    <row r="18" spans="1:26">
      <c r="A18" s="5048"/>
      <c r="B18" s="561"/>
      <c r="C18" s="561"/>
      <c r="D18" s="561"/>
      <c r="E18" s="561"/>
      <c r="F18" s="561"/>
      <c r="G18" s="561"/>
      <c r="H18" s="561"/>
      <c r="I18" s="561"/>
      <c r="J18" s="561"/>
      <c r="K18" s="561"/>
      <c r="L18" s="561"/>
      <c r="M18" s="561"/>
      <c r="N18" s="561"/>
      <c r="O18" s="561"/>
      <c r="P18" s="561"/>
      <c r="Q18" s="561"/>
      <c r="R18" s="561"/>
      <c r="S18" s="388"/>
      <c r="T18" s="388"/>
    </row>
    <row r="19" spans="1:26">
      <c r="A19" s="5048"/>
      <c r="B19" s="396"/>
      <c r="C19" s="396"/>
      <c r="D19" s="396"/>
      <c r="E19" s="396"/>
      <c r="F19" s="396"/>
      <c r="G19" s="396"/>
      <c r="H19" s="396"/>
      <c r="I19" s="396"/>
      <c r="J19" s="396"/>
      <c r="K19" s="388"/>
      <c r="L19" s="388"/>
      <c r="M19" s="388"/>
      <c r="N19" s="388"/>
      <c r="O19" s="388"/>
      <c r="P19" s="388"/>
      <c r="Q19" s="388"/>
      <c r="R19" s="37"/>
      <c r="S19" s="37"/>
      <c r="T19" s="37"/>
    </row>
    <row r="20" spans="1:26">
      <c r="A20" s="5048"/>
      <c r="B20" s="396"/>
      <c r="C20" s="396"/>
      <c r="D20" s="396"/>
      <c r="E20" s="396"/>
      <c r="F20" s="396"/>
      <c r="G20" s="396"/>
      <c r="H20" s="396"/>
      <c r="I20" s="396"/>
      <c r="J20" s="396"/>
      <c r="K20" s="388"/>
      <c r="L20" s="388"/>
      <c r="M20" s="388"/>
      <c r="N20" s="388"/>
      <c r="O20" s="388"/>
      <c r="P20" s="388"/>
      <c r="Q20" s="388"/>
      <c r="R20" s="37"/>
      <c r="S20" s="37"/>
      <c r="T20" s="37"/>
    </row>
    <row r="21" spans="1:26">
      <c r="A21" s="5048"/>
      <c r="B21" s="396"/>
      <c r="C21" s="396"/>
      <c r="D21" s="396"/>
      <c r="E21" s="396"/>
      <c r="F21" s="396"/>
      <c r="G21" s="396"/>
      <c r="H21" s="396"/>
      <c r="I21" s="396"/>
      <c r="J21" s="396"/>
      <c r="K21" s="388"/>
      <c r="L21" s="388"/>
      <c r="M21" s="388"/>
      <c r="N21" s="388"/>
      <c r="O21" s="388"/>
      <c r="P21" s="388"/>
      <c r="Q21" s="388"/>
      <c r="R21" s="37"/>
      <c r="S21" s="37"/>
      <c r="T21" s="37"/>
    </row>
    <row r="22" spans="1:26">
      <c r="A22" s="5073" t="s">
        <v>1974</v>
      </c>
      <c r="B22" s="2051" t="s">
        <v>302</v>
      </c>
      <c r="C22" s="2051">
        <v>2015</v>
      </c>
      <c r="D22" s="2051">
        <v>2016</v>
      </c>
      <c r="E22" s="2051">
        <v>2017</v>
      </c>
      <c r="F22" s="2051">
        <v>2018</v>
      </c>
      <c r="G22" s="2051">
        <v>2019</v>
      </c>
      <c r="H22" s="2051">
        <v>2020</v>
      </c>
      <c r="I22" s="2051">
        <v>2021</v>
      </c>
      <c r="J22" s="5074">
        <v>2022</v>
      </c>
      <c r="K22" s="388"/>
      <c r="L22" s="388"/>
      <c r="M22" s="388"/>
      <c r="N22" s="388"/>
      <c r="O22" s="388"/>
      <c r="P22" s="388"/>
      <c r="Q22" s="388"/>
      <c r="R22" s="4904"/>
      <c r="S22" s="4904"/>
      <c r="T22" s="4904"/>
      <c r="U22" s="683"/>
      <c r="V22" s="683"/>
      <c r="W22" s="683"/>
      <c r="X22" s="683"/>
      <c r="Y22" s="683"/>
      <c r="Z22" s="683"/>
    </row>
    <row r="23" spans="1:26">
      <c r="A23" s="5072" t="s">
        <v>276</v>
      </c>
      <c r="B23" s="675" t="s">
        <v>197</v>
      </c>
      <c r="C23" s="675">
        <v>1</v>
      </c>
      <c r="D23" s="675">
        <v>1</v>
      </c>
      <c r="E23" s="675">
        <v>0</v>
      </c>
      <c r="F23" s="675"/>
      <c r="G23" s="675">
        <v>0</v>
      </c>
      <c r="H23" s="675">
        <v>0</v>
      </c>
      <c r="I23" s="675">
        <v>0</v>
      </c>
      <c r="J23" s="4914" t="s">
        <v>390</v>
      </c>
      <c r="K23" s="388"/>
      <c r="L23" s="388"/>
      <c r="M23" s="388"/>
      <c r="N23" s="388"/>
      <c r="O23" s="388"/>
      <c r="P23" s="388"/>
      <c r="Q23" s="388"/>
      <c r="R23" s="37"/>
      <c r="S23" s="37"/>
      <c r="T23" s="37"/>
    </row>
    <row r="24" spans="1:26">
      <c r="A24" s="5072" t="s">
        <v>276</v>
      </c>
      <c r="B24" s="675" t="s">
        <v>269</v>
      </c>
      <c r="C24" s="675">
        <v>6</v>
      </c>
      <c r="D24" s="675">
        <v>6</v>
      </c>
      <c r="E24" s="675">
        <v>1</v>
      </c>
      <c r="F24" s="675"/>
      <c r="G24" s="675">
        <v>0</v>
      </c>
      <c r="H24" s="675">
        <v>0</v>
      </c>
      <c r="I24" s="675">
        <v>0</v>
      </c>
      <c r="J24" s="4914" t="s">
        <v>390</v>
      </c>
      <c r="K24" s="388"/>
      <c r="L24" s="388"/>
      <c r="M24" s="388"/>
      <c r="N24" s="388"/>
      <c r="O24" s="388"/>
      <c r="P24" s="388"/>
      <c r="Q24" s="388"/>
      <c r="R24" s="37"/>
      <c r="S24" s="37"/>
      <c r="T24" s="37"/>
    </row>
    <row r="25" spans="1:26">
      <c r="A25" s="5072" t="s">
        <v>303</v>
      </c>
      <c r="B25" s="675" t="s">
        <v>272</v>
      </c>
      <c r="C25" s="675">
        <v>291</v>
      </c>
      <c r="D25" s="675">
        <v>273</v>
      </c>
      <c r="E25" s="675">
        <v>279</v>
      </c>
      <c r="F25" s="675">
        <v>168</v>
      </c>
      <c r="G25" s="675">
        <v>206</v>
      </c>
      <c r="H25" s="675">
        <v>206</v>
      </c>
      <c r="I25" s="675">
        <v>187</v>
      </c>
      <c r="J25" s="4914">
        <v>186</v>
      </c>
      <c r="K25" s="2383"/>
      <c r="L25" s="388"/>
      <c r="M25" s="388"/>
      <c r="N25" s="388"/>
      <c r="O25" s="388"/>
      <c r="P25" s="388"/>
      <c r="Q25" s="388"/>
      <c r="R25" s="37"/>
      <c r="S25" s="37"/>
      <c r="T25" s="37"/>
    </row>
    <row r="26" spans="1:26">
      <c r="A26" s="5072" t="s">
        <v>303</v>
      </c>
      <c r="B26" s="675" t="s">
        <v>283</v>
      </c>
      <c r="C26" s="675">
        <v>2</v>
      </c>
      <c r="D26" s="675">
        <v>2</v>
      </c>
      <c r="E26" s="675">
        <v>2</v>
      </c>
      <c r="F26" s="675">
        <v>1</v>
      </c>
      <c r="G26" s="675">
        <v>1</v>
      </c>
      <c r="H26" s="675">
        <v>1</v>
      </c>
      <c r="I26" s="675">
        <v>1</v>
      </c>
      <c r="J26" s="4914">
        <v>2</v>
      </c>
      <c r="K26" s="388"/>
      <c r="L26" s="388"/>
      <c r="M26" s="388"/>
      <c r="N26" s="388"/>
      <c r="O26" s="388"/>
      <c r="P26" s="388"/>
      <c r="Q26" s="388"/>
      <c r="R26" s="37"/>
      <c r="S26" s="37"/>
      <c r="T26" s="37"/>
    </row>
    <row r="27" spans="1:26">
      <c r="A27" s="5072" t="s">
        <v>276</v>
      </c>
      <c r="B27" s="675" t="s">
        <v>277</v>
      </c>
      <c r="C27" s="675">
        <v>3</v>
      </c>
      <c r="D27" s="675">
        <v>2</v>
      </c>
      <c r="E27" s="675">
        <v>0</v>
      </c>
      <c r="F27" s="675"/>
      <c r="G27" s="675">
        <v>0</v>
      </c>
      <c r="H27" s="675">
        <v>0</v>
      </c>
      <c r="I27" s="675">
        <v>0</v>
      </c>
      <c r="J27" s="4914" t="s">
        <v>390</v>
      </c>
      <c r="K27" s="388"/>
      <c r="L27" s="388"/>
      <c r="M27" s="388"/>
      <c r="N27" s="388"/>
      <c r="O27" s="388"/>
      <c r="P27" s="388"/>
      <c r="Q27" s="388"/>
      <c r="R27" s="37"/>
      <c r="S27" s="37"/>
      <c r="T27" s="37"/>
    </row>
    <row r="28" spans="1:26">
      <c r="A28" s="5072" t="s">
        <v>303</v>
      </c>
      <c r="B28" s="675" t="s">
        <v>273</v>
      </c>
      <c r="C28" s="675">
        <v>355</v>
      </c>
      <c r="D28" s="675">
        <v>357</v>
      </c>
      <c r="E28" s="675">
        <v>364</v>
      </c>
      <c r="F28" s="675">
        <v>319</v>
      </c>
      <c r="G28" s="675">
        <v>361</v>
      </c>
      <c r="H28" s="675">
        <v>364</v>
      </c>
      <c r="I28" s="675">
        <v>410</v>
      </c>
      <c r="J28" s="4914">
        <v>492</v>
      </c>
      <c r="K28" s="388"/>
      <c r="L28" s="388"/>
      <c r="M28" s="388"/>
      <c r="N28" s="388"/>
      <c r="O28" s="388"/>
      <c r="P28" s="388"/>
      <c r="Q28" s="388"/>
      <c r="R28" s="37"/>
      <c r="S28" s="37"/>
      <c r="T28" s="37"/>
    </row>
    <row r="29" spans="1:26">
      <c r="A29" s="5072" t="s">
        <v>276</v>
      </c>
      <c r="B29" s="675" t="s">
        <v>758</v>
      </c>
      <c r="C29" s="675">
        <v>0</v>
      </c>
      <c r="D29" s="675">
        <v>0</v>
      </c>
      <c r="E29" s="675">
        <v>2</v>
      </c>
      <c r="F29" s="675">
        <v>3</v>
      </c>
      <c r="G29" s="675">
        <v>4</v>
      </c>
      <c r="H29" s="675">
        <v>4</v>
      </c>
      <c r="I29" s="675">
        <v>5</v>
      </c>
      <c r="J29" s="4914">
        <v>9</v>
      </c>
      <c r="K29" s="388"/>
      <c r="L29" s="388"/>
      <c r="M29" s="388"/>
      <c r="N29" s="388"/>
      <c r="O29" s="388"/>
      <c r="P29" s="388"/>
      <c r="Q29" s="388"/>
      <c r="R29" s="37"/>
      <c r="S29" s="37"/>
      <c r="T29" s="37"/>
    </row>
    <row r="30" spans="1:26">
      <c r="A30" s="5072" t="s">
        <v>276</v>
      </c>
      <c r="B30" s="675" t="s">
        <v>389</v>
      </c>
      <c r="C30" s="675">
        <v>0</v>
      </c>
      <c r="D30" s="675">
        <v>0</v>
      </c>
      <c r="E30" s="675">
        <v>6</v>
      </c>
      <c r="F30" s="675">
        <v>4</v>
      </c>
      <c r="G30" s="675">
        <v>7</v>
      </c>
      <c r="H30" s="675">
        <v>7</v>
      </c>
      <c r="I30" s="675">
        <v>9</v>
      </c>
      <c r="J30" s="4914">
        <v>10</v>
      </c>
      <c r="K30" s="388"/>
      <c r="L30" s="388"/>
      <c r="M30" s="388"/>
      <c r="N30" s="388"/>
      <c r="O30" s="388"/>
      <c r="P30" s="388"/>
      <c r="Q30" s="388"/>
      <c r="R30" s="37"/>
      <c r="S30" s="37"/>
      <c r="T30" s="37"/>
    </row>
    <row r="31" spans="1:26">
      <c r="A31" s="5072" t="s">
        <v>267</v>
      </c>
      <c r="B31" s="675" t="s">
        <v>299</v>
      </c>
      <c r="C31" s="675">
        <v>0</v>
      </c>
      <c r="D31" s="675">
        <v>0</v>
      </c>
      <c r="E31" s="675">
        <v>0</v>
      </c>
      <c r="F31" s="675"/>
      <c r="G31" s="675"/>
      <c r="H31" s="675" t="s">
        <v>390</v>
      </c>
      <c r="I31" s="675">
        <v>0</v>
      </c>
      <c r="J31" s="4914" t="s">
        <v>390</v>
      </c>
      <c r="K31" s="388"/>
      <c r="L31" s="388"/>
      <c r="M31" s="388"/>
      <c r="N31" s="388"/>
      <c r="O31" s="388"/>
      <c r="P31" s="388"/>
      <c r="Q31" s="388"/>
      <c r="R31" s="37"/>
      <c r="S31" s="37"/>
      <c r="T31" s="37"/>
    </row>
    <row r="32" spans="1:26">
      <c r="A32" s="5072" t="s">
        <v>267</v>
      </c>
      <c r="B32" s="675" t="s">
        <v>284</v>
      </c>
      <c r="C32" s="675">
        <v>4</v>
      </c>
      <c r="D32" s="675">
        <v>4</v>
      </c>
      <c r="E32" s="675">
        <v>6</v>
      </c>
      <c r="F32" s="675">
        <v>5</v>
      </c>
      <c r="G32" s="675">
        <v>4</v>
      </c>
      <c r="H32" s="675">
        <v>4</v>
      </c>
      <c r="I32" s="675">
        <v>4</v>
      </c>
      <c r="J32" s="4914">
        <v>5</v>
      </c>
      <c r="K32" s="388"/>
      <c r="L32" s="388"/>
      <c r="M32" s="388"/>
      <c r="N32" s="388"/>
      <c r="O32" s="388"/>
      <c r="P32" s="388"/>
      <c r="Q32" s="388"/>
      <c r="R32" s="37"/>
      <c r="S32" s="37"/>
      <c r="T32" s="37"/>
    </row>
    <row r="33" spans="1:20">
      <c r="A33" s="5072" t="s">
        <v>267</v>
      </c>
      <c r="B33" s="675" t="s">
        <v>285</v>
      </c>
      <c r="C33" s="675">
        <v>5</v>
      </c>
      <c r="D33" s="675">
        <v>5</v>
      </c>
      <c r="E33" s="675">
        <v>5</v>
      </c>
      <c r="F33" s="675">
        <v>5</v>
      </c>
      <c r="G33" s="675">
        <v>5</v>
      </c>
      <c r="H33" s="675">
        <v>5</v>
      </c>
      <c r="I33" s="675">
        <v>5</v>
      </c>
      <c r="J33" s="4914">
        <v>5</v>
      </c>
      <c r="K33" s="391"/>
      <c r="L33" s="391"/>
      <c r="M33" s="391"/>
      <c r="N33" s="391"/>
      <c r="O33" s="391"/>
      <c r="P33" s="391"/>
      <c r="Q33" s="391"/>
      <c r="R33" s="134"/>
      <c r="S33" s="134"/>
      <c r="T33" s="134"/>
    </row>
    <row r="34" spans="1:20">
      <c r="A34" s="5072" t="s">
        <v>267</v>
      </c>
      <c r="B34" s="675" t="s">
        <v>286</v>
      </c>
      <c r="C34" s="675">
        <v>133</v>
      </c>
      <c r="D34" s="675">
        <v>130</v>
      </c>
      <c r="E34" s="675">
        <v>144</v>
      </c>
      <c r="F34" s="675">
        <v>128</v>
      </c>
      <c r="G34" s="675">
        <v>150</v>
      </c>
      <c r="H34" s="675">
        <v>154</v>
      </c>
      <c r="I34" s="675">
        <v>147</v>
      </c>
      <c r="J34" s="4914">
        <v>154</v>
      </c>
      <c r="K34" s="387"/>
      <c r="L34" s="387"/>
      <c r="M34" s="387"/>
      <c r="N34" s="388"/>
      <c r="O34" s="388"/>
      <c r="P34" s="388"/>
      <c r="Q34" s="388"/>
      <c r="R34" s="37"/>
      <c r="S34" s="37"/>
      <c r="T34" s="37"/>
    </row>
    <row r="35" spans="1:20">
      <c r="A35" s="5072" t="s">
        <v>765</v>
      </c>
      <c r="B35" s="675" t="s">
        <v>293</v>
      </c>
      <c r="C35" s="675">
        <v>259</v>
      </c>
      <c r="D35" s="675">
        <v>246</v>
      </c>
      <c r="E35" s="675">
        <v>299</v>
      </c>
      <c r="F35" s="675">
        <v>309</v>
      </c>
      <c r="G35" s="675">
        <v>357</v>
      </c>
      <c r="H35" s="675">
        <v>357</v>
      </c>
      <c r="I35" s="675">
        <v>364</v>
      </c>
      <c r="J35" s="4915">
        <v>384</v>
      </c>
      <c r="K35" s="403"/>
      <c r="L35" s="404"/>
      <c r="M35" s="387"/>
      <c r="N35" s="388"/>
      <c r="O35" s="388"/>
      <c r="P35" s="388"/>
      <c r="Q35" s="388"/>
      <c r="R35" s="37"/>
      <c r="S35" s="37"/>
      <c r="T35" s="37"/>
    </row>
    <row r="36" spans="1:20">
      <c r="A36" s="5072" t="s">
        <v>303</v>
      </c>
      <c r="B36" s="675" t="s">
        <v>274</v>
      </c>
      <c r="C36" s="675">
        <v>578</v>
      </c>
      <c r="D36" s="675">
        <v>567</v>
      </c>
      <c r="E36" s="675">
        <v>580</v>
      </c>
      <c r="F36" s="675">
        <v>404</v>
      </c>
      <c r="G36" s="675">
        <v>356</v>
      </c>
      <c r="H36" s="675">
        <v>352</v>
      </c>
      <c r="I36" s="675">
        <v>298</v>
      </c>
      <c r="J36" s="4915" t="s">
        <v>390</v>
      </c>
      <c r="K36" s="405"/>
      <c r="L36" s="406"/>
      <c r="M36" s="387"/>
      <c r="N36" s="388"/>
      <c r="O36" s="388"/>
      <c r="P36" s="388"/>
      <c r="Q36" s="388"/>
      <c r="R36" s="37"/>
      <c r="S36" s="37"/>
      <c r="T36" s="37"/>
    </row>
    <row r="37" spans="1:20">
      <c r="A37" s="5072" t="s">
        <v>276</v>
      </c>
      <c r="B37" s="675" t="s">
        <v>757</v>
      </c>
      <c r="C37" s="675">
        <v>0</v>
      </c>
      <c r="D37" s="675">
        <v>0</v>
      </c>
      <c r="E37" s="675">
        <v>3</v>
      </c>
      <c r="F37" s="675">
        <v>6</v>
      </c>
      <c r="G37" s="675">
        <v>6</v>
      </c>
      <c r="H37" s="675">
        <v>6</v>
      </c>
      <c r="I37" s="675">
        <v>6</v>
      </c>
      <c r="J37" s="4915">
        <v>8</v>
      </c>
      <c r="K37" s="405"/>
      <c r="L37" s="406"/>
      <c r="M37" s="387"/>
      <c r="N37" s="388"/>
      <c r="O37" s="388"/>
      <c r="P37" s="388"/>
      <c r="Q37" s="388"/>
      <c r="R37" s="37"/>
      <c r="S37" s="37"/>
      <c r="T37" s="37"/>
    </row>
    <row r="38" spans="1:20">
      <c r="A38" s="5072" t="s">
        <v>276</v>
      </c>
      <c r="B38" s="675" t="s">
        <v>278</v>
      </c>
      <c r="C38" s="675">
        <v>407</v>
      </c>
      <c r="D38" s="675">
        <v>450</v>
      </c>
      <c r="E38" s="675">
        <v>474</v>
      </c>
      <c r="F38" s="675">
        <v>504</v>
      </c>
      <c r="G38" s="675">
        <v>540</v>
      </c>
      <c r="H38" s="675">
        <v>541</v>
      </c>
      <c r="I38" s="675">
        <v>540</v>
      </c>
      <c r="J38" s="4915">
        <v>520</v>
      </c>
      <c r="K38" s="407"/>
      <c r="L38" s="408"/>
      <c r="M38" s="387"/>
      <c r="N38" s="388"/>
      <c r="O38" s="388"/>
      <c r="P38" s="388"/>
      <c r="Q38" s="388"/>
      <c r="R38" s="37"/>
      <c r="S38" s="37"/>
      <c r="T38" s="37"/>
    </row>
    <row r="39" spans="1:20">
      <c r="A39" s="5072" t="s">
        <v>276</v>
      </c>
      <c r="B39" s="675" t="s">
        <v>279</v>
      </c>
      <c r="C39" s="675">
        <v>28</v>
      </c>
      <c r="D39" s="675">
        <v>32</v>
      </c>
      <c r="E39" s="675">
        <v>25</v>
      </c>
      <c r="F39" s="675">
        <v>27</v>
      </c>
      <c r="G39" s="675">
        <v>30</v>
      </c>
      <c r="H39" s="675">
        <v>30</v>
      </c>
      <c r="I39" s="675">
        <v>28</v>
      </c>
      <c r="J39" s="4915">
        <v>24</v>
      </c>
      <c r="K39" s="409"/>
      <c r="L39" s="410"/>
      <c r="M39" s="387"/>
      <c r="N39" s="388"/>
      <c r="O39" s="388"/>
      <c r="P39" s="388"/>
      <c r="Q39" s="388"/>
      <c r="R39" s="37"/>
      <c r="S39" s="37"/>
      <c r="T39" s="37"/>
    </row>
    <row r="40" spans="1:20">
      <c r="A40" s="5072" t="s">
        <v>276</v>
      </c>
      <c r="B40" s="675" t="s">
        <v>280</v>
      </c>
      <c r="C40" s="675">
        <v>92</v>
      </c>
      <c r="D40" s="675">
        <v>104</v>
      </c>
      <c r="E40" s="675">
        <v>123</v>
      </c>
      <c r="F40" s="675">
        <v>132</v>
      </c>
      <c r="G40" s="675">
        <v>143</v>
      </c>
      <c r="H40" s="675">
        <v>143</v>
      </c>
      <c r="I40" s="675">
        <v>140</v>
      </c>
      <c r="J40" s="4915">
        <v>144</v>
      </c>
      <c r="K40" s="387"/>
      <c r="L40" s="387"/>
      <c r="M40" s="387"/>
      <c r="N40" s="388"/>
      <c r="O40" s="388"/>
      <c r="P40" s="388"/>
      <c r="Q40" s="388"/>
      <c r="R40" s="37"/>
      <c r="S40" s="37"/>
      <c r="T40" s="37"/>
    </row>
    <row r="41" spans="1:20">
      <c r="A41" s="5072" t="s">
        <v>765</v>
      </c>
      <c r="B41" s="675" t="s">
        <v>294</v>
      </c>
      <c r="C41" s="675">
        <v>105</v>
      </c>
      <c r="D41" s="675">
        <v>100</v>
      </c>
      <c r="E41" s="675">
        <v>105</v>
      </c>
      <c r="F41" s="675">
        <v>65</v>
      </c>
      <c r="G41" s="675">
        <v>69</v>
      </c>
      <c r="H41" s="675">
        <v>71</v>
      </c>
      <c r="I41" s="675">
        <v>72</v>
      </c>
      <c r="J41" s="4915">
        <v>69</v>
      </c>
      <c r="K41" s="387"/>
      <c r="L41" s="387"/>
      <c r="M41" s="387"/>
      <c r="N41" s="388"/>
      <c r="O41" s="388"/>
      <c r="P41" s="388"/>
      <c r="Q41" s="388"/>
      <c r="R41" s="37"/>
      <c r="S41" s="37"/>
      <c r="T41" s="37"/>
    </row>
    <row r="42" spans="1:20">
      <c r="A42" s="5072" t="s">
        <v>276</v>
      </c>
      <c r="B42" s="675" t="s">
        <v>756</v>
      </c>
      <c r="C42" s="675">
        <v>0</v>
      </c>
      <c r="D42" s="675">
        <v>0</v>
      </c>
      <c r="E42" s="675">
        <v>7</v>
      </c>
      <c r="F42" s="675">
        <v>6</v>
      </c>
      <c r="G42" s="675">
        <v>6</v>
      </c>
      <c r="H42" s="675">
        <v>6</v>
      </c>
      <c r="I42" s="675">
        <v>6</v>
      </c>
      <c r="J42" s="4915">
        <v>7</v>
      </c>
      <c r="K42" s="387"/>
      <c r="L42" s="387"/>
      <c r="M42" s="387"/>
      <c r="N42" s="388"/>
      <c r="O42" s="388"/>
      <c r="P42" s="388"/>
      <c r="Q42" s="388"/>
      <c r="R42" s="37"/>
      <c r="S42" s="37"/>
      <c r="T42" s="37"/>
    </row>
    <row r="43" spans="1:20">
      <c r="A43" s="5072" t="s">
        <v>765</v>
      </c>
      <c r="B43" s="675" t="s">
        <v>295</v>
      </c>
      <c r="C43" s="675">
        <v>72</v>
      </c>
      <c r="D43" s="675">
        <v>73</v>
      </c>
      <c r="E43" s="675">
        <v>81</v>
      </c>
      <c r="F43" s="675">
        <v>59</v>
      </c>
      <c r="G43" s="675">
        <v>66</v>
      </c>
      <c r="H43" s="675">
        <v>66</v>
      </c>
      <c r="I43" s="675">
        <v>68</v>
      </c>
      <c r="J43" s="4915">
        <v>74</v>
      </c>
      <c r="K43" s="387"/>
      <c r="L43" s="387"/>
      <c r="M43" s="387"/>
      <c r="N43" s="388"/>
      <c r="O43" s="388"/>
      <c r="P43" s="388"/>
      <c r="Q43" s="388"/>
      <c r="R43" s="37"/>
      <c r="S43" s="37"/>
      <c r="T43" s="37"/>
    </row>
    <row r="44" spans="1:20">
      <c r="A44" s="5072" t="s">
        <v>276</v>
      </c>
      <c r="B44" s="675" t="s">
        <v>281</v>
      </c>
      <c r="C44" s="675">
        <v>41</v>
      </c>
      <c r="D44" s="675">
        <v>37</v>
      </c>
      <c r="E44" s="675">
        <v>0</v>
      </c>
      <c r="F44" s="675"/>
      <c r="G44" s="675">
        <v>0</v>
      </c>
      <c r="H44" s="675">
        <v>0</v>
      </c>
      <c r="I44" s="675">
        <v>0</v>
      </c>
      <c r="J44" s="4915" t="s">
        <v>390</v>
      </c>
      <c r="K44" s="388"/>
      <c r="L44" s="388"/>
      <c r="M44" s="388"/>
      <c r="N44" s="388"/>
      <c r="O44" s="388"/>
      <c r="P44" s="388"/>
      <c r="Q44" s="388"/>
      <c r="R44" s="37"/>
      <c r="S44" s="37"/>
      <c r="T44" s="37"/>
    </row>
    <row r="45" spans="1:20">
      <c r="A45" s="5072" t="s">
        <v>765</v>
      </c>
      <c r="B45" s="675" t="s">
        <v>296</v>
      </c>
      <c r="C45" s="675">
        <v>286</v>
      </c>
      <c r="D45" s="675">
        <v>241</v>
      </c>
      <c r="E45" s="675">
        <v>254</v>
      </c>
      <c r="F45" s="675">
        <v>211</v>
      </c>
      <c r="G45" s="675">
        <v>238</v>
      </c>
      <c r="H45" s="675">
        <v>241</v>
      </c>
      <c r="I45" s="675">
        <v>252</v>
      </c>
      <c r="J45" s="4915">
        <v>263</v>
      </c>
      <c r="K45" s="388"/>
      <c r="L45" s="388"/>
      <c r="M45" s="388"/>
      <c r="N45" s="388"/>
      <c r="O45" s="388"/>
      <c r="P45" s="388"/>
      <c r="Q45" s="388"/>
      <c r="R45" s="37"/>
      <c r="S45" s="37"/>
      <c r="T45" s="37"/>
    </row>
    <row r="46" spans="1:20">
      <c r="A46" s="5072" t="s">
        <v>267</v>
      </c>
      <c r="B46" s="675" t="s">
        <v>287</v>
      </c>
      <c r="C46" s="675">
        <v>2</v>
      </c>
      <c r="D46" s="675">
        <v>2</v>
      </c>
      <c r="E46" s="675">
        <v>2</v>
      </c>
      <c r="F46" s="675">
        <v>1</v>
      </c>
      <c r="G46" s="675">
        <v>3</v>
      </c>
      <c r="H46" s="675">
        <v>3</v>
      </c>
      <c r="I46" s="675">
        <v>4</v>
      </c>
      <c r="J46" s="4915">
        <v>6</v>
      </c>
      <c r="K46" s="388"/>
      <c r="L46" s="388"/>
      <c r="M46" s="388"/>
      <c r="N46" s="388"/>
      <c r="O46" s="388"/>
      <c r="P46" s="388"/>
      <c r="Q46" s="388"/>
      <c r="R46" s="37"/>
      <c r="S46" s="37"/>
      <c r="T46" s="37"/>
    </row>
    <row r="47" spans="1:20">
      <c r="A47" s="5072" t="s">
        <v>276</v>
      </c>
      <c r="B47" s="675" t="s">
        <v>282</v>
      </c>
      <c r="C47" s="675">
        <v>134</v>
      </c>
      <c r="D47" s="675">
        <v>88</v>
      </c>
      <c r="E47" s="675">
        <v>12</v>
      </c>
      <c r="F47" s="675">
        <v>2</v>
      </c>
      <c r="G47" s="675">
        <v>0</v>
      </c>
      <c r="H47" s="675">
        <v>0</v>
      </c>
      <c r="I47" s="675">
        <v>0</v>
      </c>
      <c r="J47" s="4915" t="s">
        <v>390</v>
      </c>
      <c r="K47" s="388"/>
      <c r="L47" s="388"/>
      <c r="M47" s="388"/>
      <c r="N47" s="388"/>
      <c r="O47" s="388"/>
      <c r="P47" s="388"/>
      <c r="Q47" s="388"/>
      <c r="R47" s="37"/>
      <c r="S47" s="37"/>
      <c r="T47" s="37"/>
    </row>
    <row r="48" spans="1:20">
      <c r="A48" s="5072" t="s">
        <v>267</v>
      </c>
      <c r="B48" s="675" t="s">
        <v>288</v>
      </c>
      <c r="C48" s="675">
        <v>4</v>
      </c>
      <c r="D48" s="675">
        <v>4</v>
      </c>
      <c r="E48" s="675">
        <v>4</v>
      </c>
      <c r="F48" s="675">
        <v>2</v>
      </c>
      <c r="G48" s="675">
        <v>1</v>
      </c>
      <c r="H48" s="675">
        <v>1</v>
      </c>
      <c r="I48" s="675">
        <v>1</v>
      </c>
      <c r="J48" s="4915">
        <v>1</v>
      </c>
      <c r="K48" s="388"/>
      <c r="L48" s="388"/>
      <c r="M48" s="388"/>
      <c r="N48" s="388"/>
      <c r="O48" s="388"/>
      <c r="P48" s="388"/>
      <c r="Q48" s="388"/>
      <c r="R48" s="37"/>
      <c r="S48" s="37"/>
      <c r="T48" s="37"/>
    </row>
    <row r="49" spans="1:20">
      <c r="A49" s="5072" t="s">
        <v>267</v>
      </c>
      <c r="B49" s="675" t="s">
        <v>289</v>
      </c>
      <c r="C49" s="675">
        <v>2</v>
      </c>
      <c r="D49" s="675">
        <v>2</v>
      </c>
      <c r="E49" s="675">
        <v>1</v>
      </c>
      <c r="F49" s="675">
        <v>1</v>
      </c>
      <c r="G49" s="675">
        <v>1</v>
      </c>
      <c r="H49" s="675">
        <v>1</v>
      </c>
      <c r="I49" s="675">
        <v>1</v>
      </c>
      <c r="J49" s="4915">
        <v>1</v>
      </c>
      <c r="K49" s="388"/>
      <c r="L49" s="388"/>
      <c r="M49" s="388"/>
      <c r="N49" s="388"/>
      <c r="O49" s="388"/>
      <c r="P49" s="388"/>
      <c r="Q49" s="388"/>
      <c r="R49" s="37"/>
      <c r="S49" s="37"/>
      <c r="T49" s="37"/>
    </row>
    <row r="50" spans="1:20">
      <c r="A50" s="5072" t="s">
        <v>276</v>
      </c>
      <c r="B50" s="675" t="s">
        <v>271</v>
      </c>
      <c r="C50" s="675">
        <v>1</v>
      </c>
      <c r="D50" s="675">
        <v>1</v>
      </c>
      <c r="E50" s="675">
        <v>0</v>
      </c>
      <c r="F50" s="675"/>
      <c r="G50" s="675">
        <v>0</v>
      </c>
      <c r="H50" s="675">
        <v>0</v>
      </c>
      <c r="I50" s="675">
        <v>1</v>
      </c>
      <c r="J50" s="4915">
        <v>1</v>
      </c>
      <c r="K50" s="388"/>
      <c r="L50" s="388"/>
      <c r="M50" s="388"/>
      <c r="N50" s="388"/>
      <c r="O50" s="388"/>
      <c r="P50" s="388"/>
      <c r="Q50" s="388"/>
      <c r="R50" s="37"/>
      <c r="S50" s="37"/>
      <c r="T50" s="37"/>
    </row>
    <row r="51" spans="1:20">
      <c r="A51" s="5072" t="s">
        <v>268</v>
      </c>
      <c r="B51" s="675" t="s">
        <v>297</v>
      </c>
      <c r="C51" s="675">
        <v>23</v>
      </c>
      <c r="D51" s="675">
        <v>23</v>
      </c>
      <c r="E51" s="675">
        <v>29</v>
      </c>
      <c r="F51" s="675">
        <v>14</v>
      </c>
      <c r="G51" s="675">
        <v>15</v>
      </c>
      <c r="H51" s="675">
        <v>15</v>
      </c>
      <c r="I51" s="675">
        <v>15</v>
      </c>
      <c r="J51" s="4915">
        <v>15</v>
      </c>
      <c r="K51" s="388"/>
      <c r="L51" s="388"/>
      <c r="M51" s="388"/>
      <c r="N51" s="388"/>
      <c r="O51" s="388"/>
      <c r="P51" s="388"/>
      <c r="Q51" s="388"/>
      <c r="R51" s="37"/>
      <c r="S51" s="37"/>
      <c r="T51" s="37"/>
    </row>
    <row r="52" spans="1:20">
      <c r="A52" s="5072" t="s">
        <v>303</v>
      </c>
      <c r="B52" s="675" t="s">
        <v>275</v>
      </c>
      <c r="C52" s="675">
        <v>2262</v>
      </c>
      <c r="D52" s="675">
        <v>2237</v>
      </c>
      <c r="E52" s="675">
        <v>2294</v>
      </c>
      <c r="F52" s="675">
        <v>1895</v>
      </c>
      <c r="G52" s="675">
        <v>2055</v>
      </c>
      <c r="H52" s="675">
        <v>2067</v>
      </c>
      <c r="I52" s="675">
        <v>2157</v>
      </c>
      <c r="J52" s="4915">
        <v>2554</v>
      </c>
      <c r="K52" s="388"/>
      <c r="L52" s="388"/>
      <c r="M52" s="388"/>
      <c r="N52" s="388"/>
      <c r="O52" s="388"/>
      <c r="P52" s="388"/>
      <c r="Q52" s="388"/>
      <c r="R52" s="37"/>
      <c r="S52" s="37"/>
      <c r="T52" s="37"/>
    </row>
    <row r="53" spans="1:20">
      <c r="A53" s="5072" t="s">
        <v>267</v>
      </c>
      <c r="B53" s="675" t="s">
        <v>290</v>
      </c>
      <c r="C53" s="675">
        <v>3</v>
      </c>
      <c r="D53" s="675">
        <v>2</v>
      </c>
      <c r="E53" s="675">
        <v>1</v>
      </c>
      <c r="F53" s="675">
        <v>1</v>
      </c>
      <c r="G53" s="675">
        <v>1</v>
      </c>
      <c r="H53" s="675">
        <v>1</v>
      </c>
      <c r="I53" s="675">
        <v>0</v>
      </c>
      <c r="J53" s="4915" t="s">
        <v>390</v>
      </c>
      <c r="K53" s="388"/>
      <c r="L53" s="388"/>
      <c r="M53" s="388"/>
      <c r="N53" s="388"/>
      <c r="O53" s="388"/>
      <c r="P53" s="388"/>
      <c r="Q53" s="388"/>
      <c r="R53" s="37"/>
      <c r="S53" s="37"/>
      <c r="T53" s="37"/>
    </row>
    <row r="54" spans="1:20">
      <c r="A54" s="5072" t="s">
        <v>267</v>
      </c>
      <c r="B54" s="675" t="s">
        <v>300</v>
      </c>
      <c r="C54" s="675">
        <v>0</v>
      </c>
      <c r="D54" s="675">
        <v>0</v>
      </c>
      <c r="E54" s="675">
        <v>0</v>
      </c>
      <c r="F54" s="675"/>
      <c r="G54" s="675"/>
      <c r="H54" s="675" t="s">
        <v>390</v>
      </c>
      <c r="I54" s="675">
        <v>0</v>
      </c>
      <c r="J54" s="4915" t="s">
        <v>390</v>
      </c>
      <c r="K54" s="388"/>
      <c r="L54" s="388"/>
      <c r="M54" s="388"/>
      <c r="N54" s="388"/>
      <c r="O54" s="388"/>
      <c r="P54" s="388"/>
      <c r="Q54" s="388"/>
      <c r="R54" s="37"/>
      <c r="S54" s="37"/>
      <c r="T54" s="37"/>
    </row>
    <row r="55" spans="1:20">
      <c r="A55" s="5072" t="s">
        <v>267</v>
      </c>
      <c r="B55" s="675" t="s">
        <v>291</v>
      </c>
      <c r="C55" s="675">
        <v>28</v>
      </c>
      <c r="D55" s="675">
        <v>28</v>
      </c>
      <c r="E55" s="675">
        <v>27</v>
      </c>
      <c r="F55" s="675">
        <v>27</v>
      </c>
      <c r="G55" s="675">
        <v>36</v>
      </c>
      <c r="H55" s="675">
        <v>39</v>
      </c>
      <c r="I55" s="675">
        <v>42</v>
      </c>
      <c r="J55" s="4915">
        <v>48</v>
      </c>
      <c r="K55" s="388"/>
      <c r="L55" s="388"/>
      <c r="M55" s="388"/>
      <c r="N55" s="388"/>
      <c r="O55" s="388"/>
      <c r="P55" s="388"/>
      <c r="Q55" s="388"/>
      <c r="R55" s="37"/>
      <c r="S55" s="37"/>
      <c r="T55" s="37"/>
    </row>
    <row r="56" spans="1:20">
      <c r="A56" s="5072" t="s">
        <v>267</v>
      </c>
      <c r="B56" s="675" t="s">
        <v>292</v>
      </c>
      <c r="C56" s="675">
        <v>6</v>
      </c>
      <c r="D56" s="675">
        <v>5</v>
      </c>
      <c r="E56" s="675">
        <v>5</v>
      </c>
      <c r="F56" s="675">
        <v>3</v>
      </c>
      <c r="G56" s="675">
        <v>3</v>
      </c>
      <c r="H56" s="675">
        <v>3</v>
      </c>
      <c r="I56" s="675">
        <v>3</v>
      </c>
      <c r="J56" s="4915">
        <v>4</v>
      </c>
      <c r="K56" s="388"/>
      <c r="L56" s="388"/>
      <c r="M56" s="388"/>
      <c r="N56" s="388"/>
      <c r="O56" s="388"/>
      <c r="P56" s="388"/>
      <c r="Q56" s="388"/>
      <c r="R56" s="37"/>
      <c r="S56" s="37"/>
      <c r="T56" s="37"/>
    </row>
    <row r="57" spans="1:20">
      <c r="A57" s="5072" t="s">
        <v>268</v>
      </c>
      <c r="B57" s="675" t="s">
        <v>298</v>
      </c>
      <c r="C57" s="675">
        <v>29</v>
      </c>
      <c r="D57" s="675">
        <v>29</v>
      </c>
      <c r="E57" s="675">
        <v>73</v>
      </c>
      <c r="F57" s="675">
        <v>18</v>
      </c>
      <c r="G57" s="675">
        <v>22</v>
      </c>
      <c r="H57" s="675">
        <v>22</v>
      </c>
      <c r="I57" s="675">
        <v>23</v>
      </c>
      <c r="J57" s="4915">
        <v>28</v>
      </c>
      <c r="K57" s="388"/>
      <c r="L57" s="388"/>
      <c r="M57" s="388"/>
      <c r="N57" s="388"/>
      <c r="O57" s="388"/>
      <c r="P57" s="388"/>
      <c r="Q57" s="388"/>
      <c r="R57" s="37"/>
      <c r="S57" s="37"/>
      <c r="T57" s="37"/>
    </row>
    <row r="58" spans="1:20">
      <c r="A58" s="5072" t="s">
        <v>268</v>
      </c>
      <c r="B58" s="675" t="s">
        <v>563</v>
      </c>
      <c r="C58" s="675">
        <v>50</v>
      </c>
      <c r="D58" s="675">
        <v>58</v>
      </c>
      <c r="E58" s="675">
        <v>23</v>
      </c>
      <c r="F58" s="675">
        <v>61</v>
      </c>
      <c r="G58" s="675">
        <v>66</v>
      </c>
      <c r="H58" s="675">
        <v>66</v>
      </c>
      <c r="I58" s="675">
        <v>68</v>
      </c>
      <c r="J58" s="4915">
        <v>70</v>
      </c>
      <c r="K58" s="388"/>
      <c r="L58" s="388"/>
      <c r="M58" s="388"/>
      <c r="N58" s="388"/>
      <c r="O58" s="388"/>
      <c r="P58" s="388"/>
      <c r="Q58" s="388"/>
      <c r="R58" s="37"/>
      <c r="S58" s="37"/>
      <c r="T58" s="37"/>
    </row>
    <row r="59" spans="1:20">
      <c r="A59" s="5071" t="s">
        <v>1423</v>
      </c>
      <c r="B59" s="675" t="s">
        <v>1423</v>
      </c>
      <c r="C59" s="675"/>
      <c r="D59" s="675"/>
      <c r="E59" s="675"/>
      <c r="F59" s="675"/>
      <c r="G59" s="675"/>
      <c r="H59" s="675"/>
      <c r="I59" s="675">
        <v>1</v>
      </c>
      <c r="J59" s="4915">
        <v>1</v>
      </c>
      <c r="K59" s="388"/>
      <c r="L59" s="388"/>
      <c r="M59" s="388"/>
      <c r="N59" s="388"/>
      <c r="O59" s="388"/>
      <c r="P59" s="388"/>
      <c r="Q59" s="388"/>
      <c r="R59" s="2281"/>
      <c r="S59" s="2281"/>
      <c r="T59" s="2281"/>
    </row>
    <row r="60" spans="1:20">
      <c r="A60" s="5048"/>
      <c r="B60" s="2052" t="s">
        <v>53</v>
      </c>
      <c r="C60" s="2285">
        <f t="shared" ref="C60:H60" si="1">SUM(C23:C59)</f>
        <v>5212</v>
      </c>
      <c r="D60" s="2285">
        <f t="shared" si="1"/>
        <v>5109</v>
      </c>
      <c r="E60" s="2285">
        <f t="shared" si="1"/>
        <v>5231</v>
      </c>
      <c r="F60" s="2285">
        <f t="shared" si="1"/>
        <v>4381</v>
      </c>
      <c r="G60" s="2285">
        <f t="shared" si="1"/>
        <v>4752</v>
      </c>
      <c r="H60" s="2285">
        <f t="shared" si="1"/>
        <v>4776</v>
      </c>
      <c r="I60" s="2285">
        <f>SUM(I23:I59)</f>
        <v>4858</v>
      </c>
      <c r="J60" s="4916">
        <f>SUM(J23:J59)</f>
        <v>5085</v>
      </c>
      <c r="K60" s="388"/>
      <c r="L60" s="388"/>
      <c r="M60" s="388"/>
      <c r="N60" s="388"/>
      <c r="O60" s="388"/>
      <c r="P60" s="388"/>
      <c r="Q60" s="388"/>
      <c r="R60" s="37"/>
      <c r="S60" s="37"/>
      <c r="T60" s="37"/>
    </row>
    <row r="61" spans="1:20">
      <c r="A61" s="5048"/>
      <c r="B61" s="2294"/>
      <c r="J61" s="4500"/>
    </row>
  </sheetData>
  <autoFilter ref="A22:J60" xr:uid="{00000000-0001-0000-1A00-000000000000}"/>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AB41"/>
  <sheetViews>
    <sheetView showGridLines="0" workbookViewId="0">
      <selection activeCell="D3" sqref="D3:R10"/>
    </sheetView>
  </sheetViews>
  <sheetFormatPr baseColWidth="10" defaultRowHeight="14.4"/>
  <cols>
    <col min="1" max="1" width="2.33203125" customWidth="1"/>
    <col min="2" max="2" width="14.6640625" customWidth="1"/>
    <col min="3" max="3" width="59.109375" customWidth="1"/>
    <col min="4" max="11" width="5" customWidth="1"/>
    <col min="12" max="12" width="8" customWidth="1"/>
    <col min="13" max="14" width="5" customWidth="1"/>
    <col min="15" max="16" width="8" bestFit="1" customWidth="1"/>
    <col min="17" max="18" width="8" customWidth="1"/>
    <col min="19" max="19" width="5" customWidth="1"/>
    <col min="20" max="22" width="10.88671875" hidden="1" customWidth="1"/>
    <col min="23" max="23" width="10.6640625" hidden="1" customWidth="1"/>
    <col min="24" max="27" width="10.6640625" customWidth="1"/>
    <col min="28" max="28" width="5.5546875" customWidth="1"/>
  </cols>
  <sheetData>
    <row r="1" spans="1:28" ht="21">
      <c r="A1" s="708"/>
      <c r="B1" s="1067" t="s">
        <v>890</v>
      </c>
      <c r="C1" s="708"/>
      <c r="D1" s="708"/>
      <c r="E1" s="708"/>
      <c r="F1" s="708"/>
      <c r="G1" s="708"/>
      <c r="H1" s="421"/>
      <c r="I1" s="421"/>
      <c r="J1" s="708"/>
      <c r="K1" s="708"/>
      <c r="L1" s="708"/>
      <c r="M1" s="708"/>
      <c r="N1" s="708"/>
      <c r="O1" s="708"/>
      <c r="P1" s="708"/>
      <c r="Q1" s="708"/>
      <c r="R1" s="708"/>
      <c r="S1" s="708"/>
      <c r="T1" s="708"/>
      <c r="U1" s="708"/>
      <c r="V1" s="708"/>
      <c r="W1" s="708"/>
      <c r="X1" s="708"/>
      <c r="Y1" s="708"/>
      <c r="Z1" s="708"/>
      <c r="AA1" s="708"/>
      <c r="AB1" s="708"/>
    </row>
    <row r="2" spans="1:28" ht="15" thickBot="1">
      <c r="A2" s="45"/>
      <c r="R2" s="4500"/>
      <c r="S2" s="326"/>
      <c r="T2" s="226"/>
      <c r="U2" s="326"/>
      <c r="V2" s="326"/>
      <c r="W2" s="326"/>
      <c r="X2" s="326"/>
      <c r="Y2" s="326"/>
      <c r="Z2" s="326"/>
      <c r="AA2" s="326"/>
      <c r="AB2" s="326"/>
    </row>
    <row r="3" spans="1:28" ht="21" thickBot="1">
      <c r="A3" s="223">
        <v>3</v>
      </c>
      <c r="B3" s="5718" t="s">
        <v>193</v>
      </c>
      <c r="C3" s="224" t="s">
        <v>194</v>
      </c>
      <c r="D3" s="411">
        <v>2008</v>
      </c>
      <c r="E3" s="411">
        <v>2009</v>
      </c>
      <c r="F3" s="411">
        <v>2010</v>
      </c>
      <c r="G3" s="411">
        <v>2011</v>
      </c>
      <c r="H3" s="411">
        <v>2012</v>
      </c>
      <c r="I3" s="411">
        <v>2013</v>
      </c>
      <c r="J3" s="398">
        <v>2014</v>
      </c>
      <c r="K3" s="398">
        <v>2015</v>
      </c>
      <c r="L3" s="398">
        <v>2016</v>
      </c>
      <c r="M3" s="398">
        <v>2017</v>
      </c>
      <c r="N3" s="2053">
        <v>2018</v>
      </c>
      <c r="O3" s="398">
        <v>2019</v>
      </c>
      <c r="P3" s="398">
        <v>2020</v>
      </c>
      <c r="Q3" s="2053">
        <v>2021</v>
      </c>
      <c r="R3" s="2850">
        <v>2022</v>
      </c>
      <c r="S3" s="2164"/>
      <c r="T3" s="414" t="s">
        <v>550</v>
      </c>
      <c r="U3" s="417" t="s">
        <v>551</v>
      </c>
      <c r="V3" s="417" t="s">
        <v>760</v>
      </c>
      <c r="W3" s="417" t="s">
        <v>886</v>
      </c>
      <c r="X3" s="417" t="s">
        <v>1354</v>
      </c>
      <c r="Y3" s="417" t="s">
        <v>1390</v>
      </c>
      <c r="Z3" s="417" t="s">
        <v>1425</v>
      </c>
      <c r="AA3" s="2852" t="s">
        <v>1968</v>
      </c>
      <c r="AB3" s="2164"/>
    </row>
    <row r="4" spans="1:28">
      <c r="A4" s="45"/>
      <c r="B4" s="5719"/>
      <c r="C4" s="392" t="s">
        <v>765</v>
      </c>
      <c r="D4" s="412">
        <v>456</v>
      </c>
      <c r="E4" s="413">
        <v>522</v>
      </c>
      <c r="F4" s="413">
        <v>464</v>
      </c>
      <c r="G4" s="413">
        <v>513</v>
      </c>
      <c r="H4" s="413">
        <v>564</v>
      </c>
      <c r="I4" s="413">
        <v>631</v>
      </c>
      <c r="J4" s="413">
        <v>679</v>
      </c>
      <c r="K4" s="413">
        <v>722</v>
      </c>
      <c r="L4" s="413">
        <v>660</v>
      </c>
      <c r="M4" s="413">
        <v>739</v>
      </c>
      <c r="N4" s="2054">
        <v>644</v>
      </c>
      <c r="O4" s="413">
        <v>730</v>
      </c>
      <c r="P4" s="413">
        <v>735</v>
      </c>
      <c r="Q4" s="2054">
        <v>756</v>
      </c>
      <c r="R4" s="2851">
        <v>790</v>
      </c>
      <c r="S4" s="419"/>
      <c r="T4" s="415">
        <f t="shared" ref="T4:T9" si="0">K4/$K$11</f>
        <v>0.13986826811313444</v>
      </c>
      <c r="U4" s="418">
        <f t="shared" ref="U4:U9" si="1">L4/$L$11</f>
        <v>0.13066719461492773</v>
      </c>
      <c r="V4" s="418">
        <f t="shared" ref="V4:V9" si="2">M4/$M$11</f>
        <v>0.14127317912445039</v>
      </c>
      <c r="W4" s="418">
        <f t="shared" ref="W4:W9" si="3">N4/$N$11</f>
        <v>0.14699840219128052</v>
      </c>
      <c r="X4" s="418">
        <f t="shared" ref="X4:X9" si="4">O4/$O$11</f>
        <v>0.15361952861952863</v>
      </c>
      <c r="Y4" s="418">
        <f t="shared" ref="Y4:Y9" si="5">P4/$P$11</f>
        <v>0.15389447236180903</v>
      </c>
      <c r="Z4" s="418">
        <f>Q4/$Q$11</f>
        <v>0.15561959654178675</v>
      </c>
      <c r="AA4" s="2853">
        <f>R4/$Q$11</f>
        <v>0.16261836146562372</v>
      </c>
      <c r="AB4" s="419"/>
    </row>
    <row r="5" spans="1:28">
      <c r="A5" s="45"/>
      <c r="B5" s="5719"/>
      <c r="C5" s="392" t="s">
        <v>303</v>
      </c>
      <c r="D5" s="412">
        <v>1435</v>
      </c>
      <c r="E5" s="413">
        <v>1755</v>
      </c>
      <c r="F5" s="413">
        <v>1576</v>
      </c>
      <c r="G5" s="413">
        <v>1752</v>
      </c>
      <c r="H5" s="413">
        <v>2245</v>
      </c>
      <c r="I5" s="413">
        <v>3021</v>
      </c>
      <c r="J5" s="413">
        <v>3316</v>
      </c>
      <c r="K5" s="413">
        <v>3486</v>
      </c>
      <c r="L5" s="413">
        <v>3434</v>
      </c>
      <c r="M5" s="413">
        <v>3517</v>
      </c>
      <c r="N5" s="2054">
        <v>2786</v>
      </c>
      <c r="O5" s="413">
        <v>2978</v>
      </c>
      <c r="P5" s="413">
        <v>2989</v>
      </c>
      <c r="Q5" s="2054">
        <v>3199</v>
      </c>
      <c r="R5" s="2851">
        <v>3386</v>
      </c>
      <c r="S5" s="419"/>
      <c r="T5" s="415">
        <f t="shared" si="0"/>
        <v>0.67531964354901197</v>
      </c>
      <c r="U5" s="418">
        <f t="shared" si="1"/>
        <v>0.67986537319342699</v>
      </c>
      <c r="V5" s="418">
        <f t="shared" si="2"/>
        <v>0.67233798508889309</v>
      </c>
      <c r="W5" s="418">
        <f t="shared" si="3"/>
        <v>0.63592787034923537</v>
      </c>
      <c r="X5" s="418">
        <f t="shared" si="4"/>
        <v>0.62668350168350173</v>
      </c>
      <c r="Y5" s="418">
        <f t="shared" si="5"/>
        <v>0.62583752093802347</v>
      </c>
      <c r="Z5" s="418">
        <f t="shared" ref="Z5:AA11" si="6">Q5/$Q$11</f>
        <v>0.65850144092219021</v>
      </c>
      <c r="AA5" s="2853">
        <f t="shared" si="6"/>
        <v>0.69699464800329358</v>
      </c>
      <c r="AB5" s="419"/>
    </row>
    <row r="6" spans="1:28">
      <c r="A6" s="45"/>
      <c r="B6" s="5719"/>
      <c r="C6" s="392" t="s">
        <v>276</v>
      </c>
      <c r="D6" s="412">
        <v>426</v>
      </c>
      <c r="E6" s="413">
        <v>476</v>
      </c>
      <c r="F6" s="413">
        <v>462</v>
      </c>
      <c r="G6" s="413">
        <v>475</v>
      </c>
      <c r="H6" s="413">
        <v>496</v>
      </c>
      <c r="I6" s="413">
        <v>585</v>
      </c>
      <c r="J6" s="413">
        <v>642</v>
      </c>
      <c r="K6" s="413">
        <v>713</v>
      </c>
      <c r="L6" s="413">
        <v>721</v>
      </c>
      <c r="M6" s="413">
        <v>653</v>
      </c>
      <c r="N6" s="2054">
        <v>684</v>
      </c>
      <c r="O6" s="413">
        <v>736</v>
      </c>
      <c r="P6" s="413">
        <v>737</v>
      </c>
      <c r="Q6" s="2054">
        <v>735</v>
      </c>
      <c r="R6" s="2851">
        <v>723</v>
      </c>
      <c r="S6" s="419"/>
      <c r="T6" s="415">
        <f t="shared" si="0"/>
        <v>0.1381247578457962</v>
      </c>
      <c r="U6" s="418">
        <f t="shared" si="1"/>
        <v>0.14274401108691348</v>
      </c>
      <c r="V6" s="418">
        <f t="shared" si="2"/>
        <v>0.12483272796788376</v>
      </c>
      <c r="W6" s="418">
        <f t="shared" si="3"/>
        <v>0.15612873773111161</v>
      </c>
      <c r="X6" s="418">
        <f t="shared" si="4"/>
        <v>0.15488215488215487</v>
      </c>
      <c r="Y6" s="418">
        <f t="shared" si="5"/>
        <v>0.15431323283082077</v>
      </c>
      <c r="Z6" s="418">
        <f t="shared" si="6"/>
        <v>0.15129682997118155</v>
      </c>
      <c r="AA6" s="2853">
        <f t="shared" si="6"/>
        <v>0.14882667764512145</v>
      </c>
      <c r="AB6" s="419"/>
    </row>
    <row r="7" spans="1:28">
      <c r="A7" s="45"/>
      <c r="B7" s="5719"/>
      <c r="C7" s="393" t="s">
        <v>266</v>
      </c>
      <c r="D7" s="412">
        <v>13</v>
      </c>
      <c r="E7" s="413">
        <v>12</v>
      </c>
      <c r="F7" s="413">
        <v>11</v>
      </c>
      <c r="G7" s="413">
        <v>10</v>
      </c>
      <c r="H7" s="413">
        <v>0</v>
      </c>
      <c r="I7" s="413">
        <v>0</v>
      </c>
      <c r="J7" s="413">
        <v>0</v>
      </c>
      <c r="K7" s="413">
        <v>0</v>
      </c>
      <c r="L7" s="413">
        <v>0</v>
      </c>
      <c r="M7" s="413">
        <v>0</v>
      </c>
      <c r="N7" s="2054"/>
      <c r="O7" s="413">
        <v>0</v>
      </c>
      <c r="P7" s="413">
        <v>0</v>
      </c>
      <c r="Q7" s="2054">
        <v>0</v>
      </c>
      <c r="R7" s="2851">
        <v>0</v>
      </c>
      <c r="S7" s="419"/>
      <c r="T7" s="415">
        <f t="shared" si="0"/>
        <v>0</v>
      </c>
      <c r="U7" s="418">
        <f t="shared" si="1"/>
        <v>0</v>
      </c>
      <c r="V7" s="418">
        <f t="shared" si="2"/>
        <v>0</v>
      </c>
      <c r="W7" s="418">
        <f t="shared" si="3"/>
        <v>0</v>
      </c>
      <c r="X7" s="418">
        <f t="shared" si="4"/>
        <v>0</v>
      </c>
      <c r="Y7" s="418">
        <f t="shared" si="5"/>
        <v>0</v>
      </c>
      <c r="Z7" s="418">
        <f t="shared" si="6"/>
        <v>0</v>
      </c>
      <c r="AA7" s="2853">
        <f t="shared" si="6"/>
        <v>0</v>
      </c>
      <c r="AB7" s="419"/>
    </row>
    <row r="8" spans="1:28">
      <c r="A8" s="45"/>
      <c r="B8" s="5719"/>
      <c r="C8" s="392" t="s">
        <v>267</v>
      </c>
      <c r="D8" s="412">
        <v>85</v>
      </c>
      <c r="E8" s="413">
        <v>101</v>
      </c>
      <c r="F8" s="413">
        <v>85</v>
      </c>
      <c r="G8" s="413">
        <v>96</v>
      </c>
      <c r="H8" s="413">
        <v>100</v>
      </c>
      <c r="I8" s="413">
        <v>151</v>
      </c>
      <c r="J8" s="413">
        <v>171</v>
      </c>
      <c r="K8" s="413">
        <v>189</v>
      </c>
      <c r="L8" s="413">
        <v>184</v>
      </c>
      <c r="M8" s="413">
        <v>197</v>
      </c>
      <c r="N8" s="2054">
        <v>174</v>
      </c>
      <c r="O8" s="413">
        <v>205</v>
      </c>
      <c r="P8" s="413">
        <v>212</v>
      </c>
      <c r="Q8" s="2054">
        <v>61</v>
      </c>
      <c r="R8" s="2851">
        <v>72</v>
      </c>
      <c r="S8" s="419"/>
      <c r="T8" s="415">
        <f t="shared" si="0"/>
        <v>3.6613715614103058E-2</v>
      </c>
      <c r="U8" s="418">
        <f t="shared" si="1"/>
        <v>3.6428430013858641E-2</v>
      </c>
      <c r="V8" s="418">
        <f t="shared" si="2"/>
        <v>3.7660103230739823E-2</v>
      </c>
      <c r="W8" s="418">
        <f t="shared" si="3"/>
        <v>3.9716959598265239E-2</v>
      </c>
      <c r="X8" s="418">
        <f t="shared" si="4"/>
        <v>4.3139730639730638E-2</v>
      </c>
      <c r="Y8" s="418">
        <f t="shared" si="5"/>
        <v>4.4388609715242881E-2</v>
      </c>
      <c r="Z8" s="418">
        <f t="shared" si="6"/>
        <v>1.2556607657472211E-2</v>
      </c>
      <c r="AA8" s="2853">
        <f t="shared" si="6"/>
        <v>1.4820913956360642E-2</v>
      </c>
      <c r="AB8" s="419"/>
    </row>
    <row r="9" spans="1:28">
      <c r="A9" s="45"/>
      <c r="B9" s="5720"/>
      <c r="C9" s="392" t="s">
        <v>268</v>
      </c>
      <c r="D9" s="412">
        <v>118</v>
      </c>
      <c r="E9" s="413">
        <v>148</v>
      </c>
      <c r="F9" s="413">
        <v>121</v>
      </c>
      <c r="G9" s="413">
        <v>78</v>
      </c>
      <c r="H9" s="413">
        <v>98</v>
      </c>
      <c r="I9" s="413">
        <v>100</v>
      </c>
      <c r="J9" s="413">
        <v>101</v>
      </c>
      <c r="K9" s="413">
        <v>52</v>
      </c>
      <c r="L9" s="413">
        <v>52</v>
      </c>
      <c r="M9" s="413">
        <v>125</v>
      </c>
      <c r="N9" s="2054">
        <v>93</v>
      </c>
      <c r="O9" s="413">
        <v>103</v>
      </c>
      <c r="P9" s="413">
        <v>103</v>
      </c>
      <c r="Q9" s="2054">
        <v>106</v>
      </c>
      <c r="R9" s="2851">
        <v>113</v>
      </c>
      <c r="S9" s="419"/>
      <c r="T9" s="415">
        <f t="shared" si="0"/>
        <v>1.0073614877954282E-2</v>
      </c>
      <c r="U9" s="418">
        <f t="shared" si="1"/>
        <v>1.0294991090873094E-2</v>
      </c>
      <c r="V9" s="418">
        <f t="shared" si="2"/>
        <v>2.3896004588032881E-2</v>
      </c>
      <c r="W9" s="418">
        <f t="shared" si="3"/>
        <v>2.1228030130107281E-2</v>
      </c>
      <c r="X9" s="418">
        <f t="shared" si="4"/>
        <v>2.1675084175084174E-2</v>
      </c>
      <c r="Y9" s="418">
        <f t="shared" si="5"/>
        <v>2.1566164154103853E-2</v>
      </c>
      <c r="Z9" s="418">
        <f t="shared" si="6"/>
        <v>2.1819678880197611E-2</v>
      </c>
      <c r="AA9" s="2853">
        <f t="shared" si="6"/>
        <v>2.3260601070399341E-2</v>
      </c>
      <c r="AB9" s="419"/>
    </row>
    <row r="10" spans="1:28" ht="15" thickBot="1">
      <c r="A10" s="45"/>
      <c r="B10" s="5720"/>
      <c r="C10" s="392" t="s">
        <v>1424</v>
      </c>
      <c r="D10" s="412"/>
      <c r="E10" s="413"/>
      <c r="F10" s="413"/>
      <c r="G10" s="413"/>
      <c r="H10" s="413"/>
      <c r="I10" s="413"/>
      <c r="J10" s="413"/>
      <c r="K10" s="413"/>
      <c r="L10" s="413"/>
      <c r="M10" s="413"/>
      <c r="N10" s="2054"/>
      <c r="O10" s="413"/>
      <c r="P10" s="413"/>
      <c r="Q10" s="2054">
        <v>1</v>
      </c>
      <c r="R10" s="4918">
        <v>1</v>
      </c>
      <c r="S10" s="419"/>
      <c r="T10" s="2287"/>
      <c r="U10" s="2288"/>
      <c r="V10" s="2288"/>
      <c r="W10" s="2288"/>
      <c r="X10" s="2288"/>
      <c r="Y10" s="2288"/>
      <c r="Z10" s="2288">
        <f t="shared" si="6"/>
        <v>2.0584602717167559E-4</v>
      </c>
      <c r="AA10" s="2854">
        <f t="shared" si="6"/>
        <v>2.0584602717167559E-4</v>
      </c>
      <c r="AB10" s="419"/>
    </row>
    <row r="11" spans="1:28" ht="15" thickBot="1">
      <c r="A11" s="45"/>
      <c r="B11" s="5721"/>
      <c r="C11" s="46" t="s">
        <v>195</v>
      </c>
      <c r="D11" s="2055">
        <f t="shared" ref="D11:P11" si="7">SUM(D4:D10)</f>
        <v>2533</v>
      </c>
      <c r="E11" s="2055">
        <f t="shared" si="7"/>
        <v>3014</v>
      </c>
      <c r="F11" s="2055">
        <f t="shared" si="7"/>
        <v>2719</v>
      </c>
      <c r="G11" s="2055">
        <f t="shared" si="7"/>
        <v>2924</v>
      </c>
      <c r="H11" s="2055">
        <f t="shared" si="7"/>
        <v>3503</v>
      </c>
      <c r="I11" s="2055">
        <f t="shared" si="7"/>
        <v>4488</v>
      </c>
      <c r="J11" s="2055">
        <f t="shared" si="7"/>
        <v>4909</v>
      </c>
      <c r="K11" s="2055">
        <f t="shared" si="7"/>
        <v>5162</v>
      </c>
      <c r="L11" s="2055">
        <f t="shared" si="7"/>
        <v>5051</v>
      </c>
      <c r="M11" s="2055">
        <f t="shared" si="7"/>
        <v>5231</v>
      </c>
      <c r="N11" s="2055">
        <f t="shared" si="7"/>
        <v>4381</v>
      </c>
      <c r="O11" s="2984">
        <f t="shared" si="7"/>
        <v>4752</v>
      </c>
      <c r="P11" s="2984">
        <f t="shared" si="7"/>
        <v>4776</v>
      </c>
      <c r="Q11" s="2055">
        <f>SUM(Q4:Q10)</f>
        <v>4858</v>
      </c>
      <c r="R11" s="4919">
        <f>SUM(R4:R10)</f>
        <v>5085</v>
      </c>
      <c r="S11" s="419"/>
      <c r="T11" s="416">
        <f>SUM(T4:T9)</f>
        <v>1</v>
      </c>
      <c r="U11" s="420">
        <f>SUM(U4:U9)</f>
        <v>0.99999999999999989</v>
      </c>
      <c r="V11" s="420">
        <f>M11/$M$11</f>
        <v>1</v>
      </c>
      <c r="W11" s="420">
        <f>N11/$N$11</f>
        <v>1</v>
      </c>
      <c r="X11" s="420">
        <f>O11/$O$11</f>
        <v>1</v>
      </c>
      <c r="Y11" s="420">
        <f>P11/$P$11</f>
        <v>1</v>
      </c>
      <c r="Z11" s="420">
        <f t="shared" si="6"/>
        <v>1</v>
      </c>
      <c r="AA11" s="2289">
        <f>R11/$R$11</f>
        <v>1</v>
      </c>
      <c r="AB11" s="419"/>
    </row>
    <row r="12" spans="1:28">
      <c r="A12" s="45"/>
      <c r="K12" s="47">
        <f t="shared" ref="K12:R12" si="8">K11/J11-1</f>
        <v>5.1537991444285947E-2</v>
      </c>
      <c r="L12" s="47">
        <f t="shared" si="8"/>
        <v>-2.15032932971716E-2</v>
      </c>
      <c r="M12" s="47">
        <f t="shared" si="8"/>
        <v>3.5636507622253122E-2</v>
      </c>
      <c r="N12" s="47">
        <f t="shared" si="8"/>
        <v>-0.16249283119862357</v>
      </c>
      <c r="O12" s="47">
        <f t="shared" si="8"/>
        <v>8.4683862131933241E-2</v>
      </c>
      <c r="P12" s="47">
        <f t="shared" si="8"/>
        <v>5.050505050504972E-3</v>
      </c>
      <c r="Q12" s="47">
        <f t="shared" si="8"/>
        <v>1.7169179229480802E-2</v>
      </c>
      <c r="R12" s="47">
        <f t="shared" si="8"/>
        <v>4.6727048167970464E-2</v>
      </c>
      <c r="S12" s="326"/>
      <c r="T12" s="226"/>
      <c r="U12" s="326"/>
      <c r="V12" s="326"/>
      <c r="W12" s="326"/>
      <c r="X12" s="326"/>
      <c r="Y12" s="326"/>
      <c r="Z12" s="326"/>
      <c r="AA12" s="326"/>
      <c r="AB12" s="326"/>
    </row>
    <row r="13" spans="1:28" ht="62.4">
      <c r="A13" s="45"/>
      <c r="C13" s="686"/>
      <c r="O13" s="2286" t="s">
        <v>1391</v>
      </c>
      <c r="P13" s="2286" t="s">
        <v>1391</v>
      </c>
      <c r="Q13" s="2293" t="s">
        <v>1422</v>
      </c>
      <c r="R13" s="4923" t="s">
        <v>1969</v>
      </c>
      <c r="S13" s="326"/>
      <c r="T13" s="226"/>
      <c r="U13" s="326"/>
      <c r="V13" s="326"/>
      <c r="W13" s="326"/>
      <c r="X13" s="326"/>
      <c r="Y13" s="326"/>
      <c r="Z13" s="326"/>
      <c r="AA13" s="326"/>
      <c r="AB13" s="326"/>
    </row>
    <row r="14" spans="1:28">
      <c r="A14" s="45"/>
      <c r="C14" s="2290"/>
      <c r="D14" s="2290"/>
      <c r="E14" s="2290"/>
      <c r="F14" s="2290"/>
      <c r="G14" s="2290"/>
      <c r="H14" s="2290"/>
      <c r="R14" s="4500"/>
      <c r="S14" s="326"/>
      <c r="T14" s="226"/>
      <c r="U14" s="326"/>
      <c r="V14" s="326"/>
      <c r="W14" s="326"/>
      <c r="X14" s="326"/>
      <c r="Y14" s="326"/>
      <c r="Z14" s="326"/>
      <c r="AA14" s="326"/>
      <c r="AB14" s="326"/>
    </row>
    <row r="15" spans="1:28">
      <c r="A15" s="45"/>
      <c r="C15" s="2290"/>
      <c r="D15" s="2290"/>
      <c r="E15" s="2290"/>
      <c r="F15" s="2290"/>
      <c r="G15" s="2290"/>
      <c r="H15" s="2290"/>
      <c r="R15" s="4500"/>
      <c r="S15" s="326"/>
      <c r="T15" s="226"/>
      <c r="U15" s="326"/>
      <c r="V15" s="326"/>
      <c r="W15" s="326"/>
      <c r="X15" s="326"/>
      <c r="Y15" s="326"/>
      <c r="Z15" s="326"/>
      <c r="AA15" s="326"/>
      <c r="AB15" s="326"/>
    </row>
    <row r="16" spans="1:28">
      <c r="A16" s="45"/>
      <c r="R16" s="4500"/>
      <c r="S16" s="326"/>
      <c r="T16" s="226"/>
      <c r="U16" s="326"/>
      <c r="V16" s="326"/>
      <c r="W16" s="326"/>
      <c r="X16" s="326"/>
      <c r="Y16" s="326"/>
      <c r="Z16" s="326"/>
      <c r="AA16" s="326"/>
      <c r="AB16" s="326"/>
    </row>
    <row r="17" spans="1:28">
      <c r="A17" s="45"/>
      <c r="R17" s="4500"/>
      <c r="S17" s="326"/>
      <c r="T17" s="226"/>
      <c r="U17" s="326"/>
      <c r="V17" s="326"/>
      <c r="W17" s="326"/>
      <c r="X17" s="326"/>
      <c r="Y17" s="326"/>
      <c r="Z17" s="326"/>
      <c r="AA17" s="326"/>
      <c r="AB17" s="326"/>
    </row>
    <row r="18" spans="1:28">
      <c r="A18" s="45"/>
      <c r="R18" s="4500"/>
      <c r="S18" s="326"/>
      <c r="T18" s="226"/>
      <c r="U18" s="326"/>
      <c r="V18" s="326"/>
      <c r="W18" s="326"/>
      <c r="X18" s="326"/>
      <c r="Y18" s="326"/>
      <c r="Z18" s="326"/>
      <c r="AA18" s="326"/>
      <c r="AB18" s="326"/>
    </row>
    <row r="19" spans="1:28">
      <c r="A19" s="45"/>
      <c r="R19" s="4500"/>
      <c r="S19" s="326"/>
      <c r="T19" s="226"/>
      <c r="U19" s="326"/>
      <c r="V19" s="326"/>
      <c r="W19" s="326"/>
      <c r="X19" s="326"/>
      <c r="Y19" s="326"/>
      <c r="Z19" s="326"/>
      <c r="AA19" s="326"/>
      <c r="AB19" s="326"/>
    </row>
    <row r="20" spans="1:28">
      <c r="A20" s="45"/>
      <c r="R20" s="4500"/>
      <c r="S20" s="326"/>
      <c r="T20" s="226"/>
      <c r="U20" s="326"/>
      <c r="V20" s="326"/>
      <c r="W20" s="326"/>
      <c r="X20" s="326"/>
      <c r="Y20" s="326"/>
      <c r="Z20" s="326"/>
      <c r="AA20" s="326"/>
      <c r="AB20" s="326"/>
    </row>
    <row r="21" spans="1:28">
      <c r="A21" s="45"/>
      <c r="R21" s="4500"/>
      <c r="S21" s="326"/>
      <c r="T21" s="226"/>
      <c r="U21" s="326"/>
      <c r="V21" s="326"/>
      <c r="W21" s="326"/>
      <c r="X21" s="326"/>
      <c r="Y21" s="326"/>
      <c r="Z21" s="326"/>
      <c r="AA21" s="326"/>
      <c r="AB21" s="326"/>
    </row>
    <row r="22" spans="1:28">
      <c r="A22" s="45"/>
      <c r="R22" s="4500"/>
      <c r="S22" s="326"/>
      <c r="T22" s="226"/>
      <c r="U22" s="326"/>
      <c r="V22" s="326"/>
      <c r="W22" s="326"/>
      <c r="X22" s="326"/>
      <c r="Y22" s="326"/>
      <c r="Z22" s="326"/>
      <c r="AA22" s="326"/>
      <c r="AB22" s="326"/>
    </row>
    <row r="23" spans="1:28">
      <c r="A23" s="45"/>
      <c r="R23" s="4500"/>
      <c r="S23" s="326"/>
      <c r="T23" s="226"/>
      <c r="U23" s="326"/>
      <c r="V23" s="326"/>
      <c r="W23" s="326"/>
      <c r="X23" s="326"/>
      <c r="Y23" s="326"/>
      <c r="Z23" s="326"/>
      <c r="AA23" s="326"/>
      <c r="AB23" s="326"/>
    </row>
    <row r="24" spans="1:28">
      <c r="A24" s="45"/>
      <c r="R24" s="4500"/>
      <c r="S24" s="326"/>
      <c r="T24" s="226"/>
      <c r="U24" s="326"/>
      <c r="V24" s="326"/>
      <c r="W24" s="326"/>
      <c r="X24" s="326"/>
      <c r="Y24" s="326"/>
      <c r="Z24" s="326"/>
      <c r="AA24" s="326"/>
      <c r="AB24" s="326"/>
    </row>
    <row r="25" spans="1:28">
      <c r="A25" s="45"/>
      <c r="R25" s="4500"/>
      <c r="S25" s="326"/>
      <c r="T25" s="226"/>
      <c r="U25" s="326"/>
      <c r="V25" s="326"/>
      <c r="W25" s="326"/>
      <c r="X25" s="326"/>
      <c r="Y25" s="326"/>
      <c r="Z25" s="326"/>
      <c r="AA25" s="326"/>
      <c r="AB25" s="326"/>
    </row>
    <row r="26" spans="1:28">
      <c r="A26" s="45"/>
      <c r="R26" s="4500"/>
      <c r="S26" s="326"/>
      <c r="T26" s="226"/>
      <c r="U26" s="326"/>
      <c r="V26" s="326"/>
      <c r="W26" s="326"/>
      <c r="X26" s="326"/>
      <c r="Y26" s="326"/>
      <c r="Z26" s="326"/>
      <c r="AA26" s="326"/>
      <c r="AB26" s="326"/>
    </row>
    <row r="27" spans="1:28">
      <c r="A27" s="45"/>
      <c r="R27" s="4500"/>
      <c r="S27" s="326"/>
      <c r="T27" s="226"/>
      <c r="U27" s="326"/>
      <c r="V27" s="326"/>
      <c r="W27" s="326"/>
      <c r="X27" s="326"/>
      <c r="Y27" s="326"/>
      <c r="Z27" s="326"/>
      <c r="AA27" s="326"/>
      <c r="AB27" s="326"/>
    </row>
    <row r="28" spans="1:28">
      <c r="A28" s="45"/>
      <c r="R28" s="4500"/>
      <c r="S28" s="326"/>
      <c r="T28" s="226"/>
      <c r="U28" s="326"/>
      <c r="V28" s="326"/>
      <c r="W28" s="326"/>
      <c r="X28" s="326"/>
      <c r="Y28" s="326"/>
      <c r="Z28" s="326"/>
      <c r="AA28" s="326"/>
      <c r="AB28" s="326"/>
    </row>
    <row r="29" spans="1:28">
      <c r="A29" s="45"/>
      <c r="R29" s="4500"/>
      <c r="S29" s="326"/>
      <c r="T29" s="226"/>
      <c r="U29" s="326"/>
      <c r="V29" s="326"/>
      <c r="W29" s="326"/>
      <c r="X29" s="326"/>
      <c r="Y29" s="326"/>
      <c r="Z29" s="326"/>
      <c r="AA29" s="326"/>
      <c r="AB29" s="326"/>
    </row>
    <row r="30" spans="1:28">
      <c r="A30" s="45"/>
      <c r="R30" s="4500"/>
      <c r="S30" s="326"/>
      <c r="T30" s="226"/>
      <c r="U30" s="326"/>
      <c r="V30" s="326"/>
      <c r="W30" s="326"/>
      <c r="X30" s="326"/>
      <c r="Y30" s="326"/>
      <c r="Z30" s="326"/>
      <c r="AA30" s="326"/>
      <c r="AB30" s="326"/>
    </row>
    <row r="31" spans="1:28">
      <c r="A31" s="45"/>
      <c r="R31" s="4500"/>
      <c r="S31" s="326"/>
      <c r="T31" s="226"/>
      <c r="U31" s="326"/>
      <c r="V31" s="326"/>
      <c r="W31" s="326"/>
      <c r="X31" s="326"/>
      <c r="Y31" s="326"/>
      <c r="Z31" s="326"/>
      <c r="AA31" s="326"/>
      <c r="AB31" s="326"/>
    </row>
    <row r="32" spans="1:28">
      <c r="A32" s="45"/>
      <c r="C32">
        <f>'[6]Actividades económicas TUR'!J4</f>
        <v>679</v>
      </c>
      <c r="R32" s="4500"/>
      <c r="S32" s="326"/>
      <c r="T32" s="226"/>
      <c r="U32" s="326"/>
      <c r="V32" s="326"/>
      <c r="W32" s="326"/>
      <c r="X32" s="326"/>
      <c r="Y32" s="326"/>
      <c r="Z32" s="326"/>
      <c r="AA32" s="326"/>
      <c r="AB32" s="326"/>
    </row>
    <row r="33" spans="1:28">
      <c r="A33" s="45"/>
      <c r="R33" s="4500"/>
      <c r="S33" s="326"/>
      <c r="T33" s="226"/>
      <c r="U33" s="326"/>
      <c r="V33" s="326"/>
      <c r="W33" s="326"/>
      <c r="X33" s="326"/>
      <c r="Y33" s="326"/>
      <c r="Z33" s="326"/>
      <c r="AA33" s="326"/>
      <c r="AB33" s="326"/>
    </row>
    <row r="34" spans="1:28">
      <c r="A34" s="45"/>
      <c r="R34" s="4500"/>
      <c r="S34" s="326"/>
      <c r="T34" s="226"/>
      <c r="U34" s="326"/>
      <c r="V34" s="326"/>
      <c r="W34" s="326"/>
      <c r="X34" s="326"/>
      <c r="Y34" s="326"/>
      <c r="Z34" s="326"/>
      <c r="AA34" s="326"/>
      <c r="AB34" s="326"/>
    </row>
    <row r="35" spans="1:28">
      <c r="A35" s="45"/>
      <c r="R35" s="4500"/>
      <c r="S35" s="326"/>
      <c r="T35" s="226"/>
      <c r="U35" s="326"/>
      <c r="V35" s="326"/>
      <c r="W35" s="326"/>
      <c r="X35" s="326"/>
      <c r="Y35" s="326"/>
      <c r="Z35" s="326"/>
      <c r="AA35" s="326"/>
      <c r="AB35" s="326"/>
    </row>
    <row r="36" spans="1:28">
      <c r="A36" s="45"/>
      <c r="R36" s="4500"/>
      <c r="S36" s="326"/>
      <c r="T36" s="226"/>
      <c r="U36" s="326"/>
      <c r="V36" s="326"/>
      <c r="W36" s="326"/>
      <c r="X36" s="326"/>
      <c r="Y36" s="326"/>
      <c r="Z36" s="326"/>
      <c r="AA36" s="326"/>
      <c r="AB36" s="326"/>
    </row>
    <row r="37" spans="1:28">
      <c r="A37" s="45"/>
      <c r="R37" s="4500"/>
      <c r="S37" s="326"/>
      <c r="T37" s="226"/>
      <c r="U37" s="326"/>
      <c r="V37" s="326"/>
      <c r="W37" s="326"/>
      <c r="X37" s="326"/>
      <c r="Y37" s="326"/>
      <c r="Z37" s="326"/>
      <c r="AA37" s="326"/>
      <c r="AB37" s="326"/>
    </row>
    <row r="38" spans="1:28">
      <c r="A38" s="45"/>
      <c r="R38" s="4500"/>
      <c r="S38" s="326"/>
      <c r="T38" s="226"/>
      <c r="U38" s="326"/>
      <c r="V38" s="326"/>
      <c r="W38" s="326"/>
      <c r="X38" s="326"/>
      <c r="Y38" s="326"/>
      <c r="Z38" s="326"/>
      <c r="AA38" s="326"/>
      <c r="AB38" s="326"/>
    </row>
    <row r="39" spans="1:28">
      <c r="A39" s="45"/>
      <c r="R39" s="4500"/>
      <c r="S39" s="326"/>
      <c r="T39" s="226"/>
      <c r="U39" s="326"/>
      <c r="V39" s="326"/>
      <c r="W39" s="326"/>
      <c r="X39" s="326"/>
      <c r="Y39" s="326"/>
      <c r="Z39" s="326"/>
      <c r="AA39" s="326"/>
      <c r="AB39" s="326"/>
    </row>
    <row r="40" spans="1:28">
      <c r="A40" s="45"/>
      <c r="R40" s="4500"/>
      <c r="S40" s="326"/>
      <c r="T40" s="226"/>
      <c r="U40" s="326"/>
      <c r="V40" s="326"/>
      <c r="W40" s="326"/>
      <c r="X40" s="326"/>
      <c r="Y40" s="326"/>
      <c r="Z40" s="326"/>
      <c r="AA40" s="326"/>
      <c r="AB40" s="326"/>
    </row>
    <row r="41" spans="1:28">
      <c r="A41" s="45"/>
      <c r="R41" s="4500"/>
      <c r="S41" s="326"/>
      <c r="T41" s="226"/>
      <c r="U41" s="326"/>
      <c r="V41" s="326"/>
      <c r="W41" s="326"/>
      <c r="X41" s="326"/>
      <c r="Y41" s="326"/>
      <c r="Z41" s="326"/>
      <c r="AA41" s="326"/>
      <c r="AB41" s="326"/>
    </row>
  </sheetData>
  <mergeCells count="1">
    <mergeCell ref="B3:B11"/>
  </mergeCells>
  <pageMargins left="0.70866141732283472" right="0.70866141732283472" top="0.74803149606299213" bottom="0.74803149606299213" header="0.31496062992125984" footer="0.31496062992125984"/>
  <pageSetup paperSize="9" scale="65"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M18"/>
  <sheetViews>
    <sheetView showGridLines="0" zoomScale="80" zoomScaleNormal="80" workbookViewId="0">
      <selection activeCell="G3" sqref="G3:J15"/>
    </sheetView>
  </sheetViews>
  <sheetFormatPr baseColWidth="10" defaultRowHeight="14.4"/>
  <cols>
    <col min="1" max="1" width="3.109375" customWidth="1"/>
    <col min="2" max="2" width="71.33203125" customWidth="1"/>
    <col min="3" max="5" width="11.109375" hidden="1" customWidth="1"/>
    <col min="6" max="6" width="0" hidden="1" customWidth="1"/>
  </cols>
  <sheetData>
    <row r="1" spans="1:13" ht="21">
      <c r="A1" s="708"/>
      <c r="B1" s="1067" t="s">
        <v>889</v>
      </c>
      <c r="C1" s="708"/>
      <c r="D1" s="708"/>
      <c r="E1" s="708"/>
      <c r="F1" s="708"/>
      <c r="G1" s="708"/>
      <c r="H1" s="708"/>
      <c r="I1" s="708"/>
      <c r="J1" s="708"/>
      <c r="K1" s="421"/>
      <c r="L1" s="421"/>
      <c r="M1" s="708"/>
    </row>
    <row r="2" spans="1:13">
      <c r="C2" s="2159"/>
      <c r="D2" s="2159"/>
      <c r="E2" s="2159"/>
      <c r="F2" s="2159"/>
      <c r="G2" s="2159"/>
      <c r="H2" s="2159"/>
      <c r="I2" s="2280"/>
      <c r="J2" s="4896"/>
    </row>
    <row r="3" spans="1:13" ht="21">
      <c r="C3" s="395">
        <v>2015</v>
      </c>
      <c r="D3" s="395">
        <v>2016</v>
      </c>
      <c r="E3" s="395">
        <v>2017</v>
      </c>
      <c r="F3" s="395">
        <v>2018</v>
      </c>
      <c r="G3" s="395">
        <v>2019</v>
      </c>
      <c r="H3" s="395">
        <v>2020</v>
      </c>
      <c r="I3" s="1065">
        <v>2021</v>
      </c>
      <c r="J3" s="4897">
        <v>2022</v>
      </c>
    </row>
    <row r="4" spans="1:13" ht="21">
      <c r="A4" s="1066"/>
      <c r="B4" s="1064" t="s">
        <v>555</v>
      </c>
      <c r="C4" s="1065">
        <f t="shared" ref="C4:F4" si="0">C5+C8</f>
        <v>102</v>
      </c>
      <c r="D4" s="1065">
        <f t="shared" si="0"/>
        <v>110</v>
      </c>
      <c r="E4" s="1065">
        <f t="shared" si="0"/>
        <v>125</v>
      </c>
      <c r="F4" s="1065">
        <f t="shared" si="0"/>
        <v>93</v>
      </c>
      <c r="G4" s="1065">
        <v>103</v>
      </c>
      <c r="H4" s="1065">
        <v>103</v>
      </c>
      <c r="I4" s="2292">
        <v>106</v>
      </c>
      <c r="J4" s="4920">
        <v>113</v>
      </c>
      <c r="K4" s="1066"/>
      <c r="L4" s="1066"/>
      <c r="M4" s="1066"/>
    </row>
    <row r="5" spans="1:13">
      <c r="B5" s="2291" t="s">
        <v>561</v>
      </c>
      <c r="C5" s="2292">
        <f t="shared" ref="C5:F5" si="1">SUM(C6:C7)</f>
        <v>73</v>
      </c>
      <c r="D5" s="2292">
        <f t="shared" si="1"/>
        <v>81</v>
      </c>
      <c r="E5" s="2292">
        <f t="shared" si="1"/>
        <v>96</v>
      </c>
      <c r="F5" s="2292">
        <f t="shared" si="1"/>
        <v>75</v>
      </c>
      <c r="G5" s="2292">
        <v>81</v>
      </c>
      <c r="H5" s="2292">
        <v>81</v>
      </c>
      <c r="I5" s="1063">
        <v>83</v>
      </c>
      <c r="J5" s="4921">
        <v>85</v>
      </c>
    </row>
    <row r="6" spans="1:13">
      <c r="B6" s="394" t="s">
        <v>562</v>
      </c>
      <c r="C6" s="1063">
        <v>23</v>
      </c>
      <c r="D6" s="1063">
        <v>23</v>
      </c>
      <c r="E6" s="1063">
        <v>23</v>
      </c>
      <c r="F6" s="1063">
        <v>14</v>
      </c>
      <c r="G6" s="1063">
        <v>15</v>
      </c>
      <c r="H6" s="1063">
        <v>15</v>
      </c>
      <c r="I6" s="1063">
        <v>15</v>
      </c>
      <c r="J6" s="4922">
        <v>15</v>
      </c>
    </row>
    <row r="7" spans="1:13">
      <c r="B7" s="394" t="s">
        <v>560</v>
      </c>
      <c r="C7" s="1063">
        <v>50</v>
      </c>
      <c r="D7" s="1063">
        <v>58</v>
      </c>
      <c r="E7" s="1063">
        <v>73</v>
      </c>
      <c r="F7" s="1063">
        <v>61</v>
      </c>
      <c r="G7" s="1063">
        <v>66</v>
      </c>
      <c r="H7" s="1063">
        <v>66</v>
      </c>
      <c r="I7" s="2292">
        <v>68</v>
      </c>
      <c r="J7" s="4922">
        <v>70</v>
      </c>
    </row>
    <row r="8" spans="1:13">
      <c r="B8" s="2291" t="s">
        <v>554</v>
      </c>
      <c r="C8" s="2292">
        <f>SUM(C10:C15)</f>
        <v>29</v>
      </c>
      <c r="D8" s="2292">
        <f>SUM(D10:D15)</f>
        <v>29</v>
      </c>
      <c r="E8" s="2292">
        <f>SUM(E10:E15)</f>
        <v>29</v>
      </c>
      <c r="F8" s="2292">
        <f>SUM(F9:F15)</f>
        <v>18</v>
      </c>
      <c r="G8" s="2292">
        <v>22</v>
      </c>
      <c r="H8" s="2292">
        <v>22</v>
      </c>
      <c r="I8" s="1063">
        <v>23</v>
      </c>
      <c r="J8" s="4921">
        <v>28</v>
      </c>
    </row>
    <row r="9" spans="1:13">
      <c r="B9" s="394" t="s">
        <v>888</v>
      </c>
      <c r="C9" s="1063">
        <v>0</v>
      </c>
      <c r="D9" s="1063">
        <v>0</v>
      </c>
      <c r="E9" s="1063">
        <v>0</v>
      </c>
      <c r="F9" s="1063">
        <v>1</v>
      </c>
      <c r="G9" s="1063">
        <v>1</v>
      </c>
      <c r="H9" s="1063">
        <v>1</v>
      </c>
      <c r="I9" s="1063">
        <v>1</v>
      </c>
      <c r="J9" s="4922">
        <v>1</v>
      </c>
    </row>
    <row r="10" spans="1:13">
      <c r="B10" s="394" t="s">
        <v>887</v>
      </c>
      <c r="C10" s="1063">
        <v>1</v>
      </c>
      <c r="D10" s="1063">
        <v>1</v>
      </c>
      <c r="E10" s="1063">
        <v>1</v>
      </c>
      <c r="F10" s="1063">
        <v>2</v>
      </c>
      <c r="G10" s="1063">
        <v>2</v>
      </c>
      <c r="H10" s="1063">
        <v>2</v>
      </c>
      <c r="I10" s="1063">
        <v>2</v>
      </c>
      <c r="J10" s="4922">
        <v>2</v>
      </c>
    </row>
    <row r="11" spans="1:13">
      <c r="B11" s="394" t="s">
        <v>559</v>
      </c>
      <c r="C11" s="1063">
        <v>5</v>
      </c>
      <c r="D11" s="1063">
        <v>5</v>
      </c>
      <c r="E11" s="1063">
        <v>3</v>
      </c>
      <c r="F11" s="1063">
        <v>2</v>
      </c>
      <c r="G11" s="1063">
        <v>3</v>
      </c>
      <c r="H11" s="1063">
        <v>3</v>
      </c>
      <c r="I11" s="1063">
        <v>3</v>
      </c>
      <c r="J11" s="4922">
        <v>3</v>
      </c>
    </row>
    <row r="12" spans="1:13">
      <c r="B12" s="394" t="s">
        <v>558</v>
      </c>
      <c r="C12" s="1063">
        <v>15</v>
      </c>
      <c r="D12" s="1063">
        <v>17</v>
      </c>
      <c r="E12" s="1063">
        <v>18</v>
      </c>
      <c r="F12" s="1063">
        <v>10</v>
      </c>
      <c r="G12" s="1063">
        <v>12</v>
      </c>
      <c r="H12" s="1063">
        <v>12</v>
      </c>
      <c r="I12" s="1063">
        <v>13</v>
      </c>
      <c r="J12" s="4922">
        <v>15</v>
      </c>
    </row>
    <row r="13" spans="1:13">
      <c r="B13" s="394" t="s">
        <v>557</v>
      </c>
      <c r="C13" s="1063">
        <v>1</v>
      </c>
      <c r="D13" s="1063">
        <v>1</v>
      </c>
      <c r="E13" s="1063">
        <v>2</v>
      </c>
      <c r="F13" s="1063">
        <v>2</v>
      </c>
      <c r="G13" s="1063">
        <v>4</v>
      </c>
      <c r="H13" s="1063">
        <v>4</v>
      </c>
      <c r="I13" s="1063">
        <v>4</v>
      </c>
      <c r="J13" s="4922">
        <v>4</v>
      </c>
    </row>
    <row r="14" spans="1:13">
      <c r="B14" s="394" t="s">
        <v>556</v>
      </c>
      <c r="C14" s="1063">
        <v>2</v>
      </c>
      <c r="D14" s="1063">
        <v>2</v>
      </c>
      <c r="E14" s="1063">
        <v>2</v>
      </c>
      <c r="F14" s="1063"/>
      <c r="G14" s="1063">
        <v>0</v>
      </c>
      <c r="H14" s="1063">
        <v>0</v>
      </c>
      <c r="I14" s="1063">
        <v>0</v>
      </c>
      <c r="J14" s="4922">
        <v>3</v>
      </c>
    </row>
    <row r="15" spans="1:13">
      <c r="B15" s="394" t="s">
        <v>553</v>
      </c>
      <c r="C15" s="1063">
        <v>5</v>
      </c>
      <c r="D15" s="1063">
        <v>3</v>
      </c>
      <c r="E15" s="1063">
        <v>3</v>
      </c>
      <c r="F15" s="1063">
        <v>1</v>
      </c>
      <c r="G15" s="1063">
        <v>0</v>
      </c>
      <c r="H15" s="1063">
        <v>0</v>
      </c>
      <c r="I15" s="2196">
        <v>0</v>
      </c>
      <c r="J15" s="4922">
        <v>0</v>
      </c>
    </row>
    <row r="16" spans="1:13" ht="57" customHeight="1">
      <c r="C16" s="2159"/>
      <c r="D16" s="2159"/>
      <c r="E16" s="2159"/>
      <c r="F16" s="1062"/>
      <c r="G16" s="2196" t="s">
        <v>1391</v>
      </c>
      <c r="H16" s="2196" t="s">
        <v>1391</v>
      </c>
      <c r="I16" s="2196" t="s">
        <v>1426</v>
      </c>
      <c r="J16" s="4923" t="s">
        <v>1969</v>
      </c>
    </row>
    <row r="17" spans="2:10">
      <c r="B17" s="686"/>
      <c r="C17" s="2159"/>
      <c r="D17" s="2159"/>
      <c r="E17" s="2159"/>
      <c r="F17" s="1062"/>
      <c r="G17" s="1062"/>
      <c r="H17" s="1062"/>
      <c r="I17" s="1062"/>
      <c r="J17" s="1062"/>
    </row>
    <row r="18" spans="2:10">
      <c r="J18" s="4500"/>
    </row>
  </sheetData>
  <pageMargins left="0.70866141732283472" right="0.70866141732283472" top="0.74803149606299213" bottom="0.74803149606299213" header="0.31496062992125984" footer="0.31496062992125984"/>
  <pageSetup scale="84"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1:S32"/>
  <sheetViews>
    <sheetView workbookViewId="0">
      <selection activeCell="B4" sqref="B4"/>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1:19" ht="21">
      <c r="A1" s="708"/>
      <c r="B1" s="1067" t="s">
        <v>892</v>
      </c>
      <c r="C1" s="708"/>
      <c r="D1" s="708"/>
      <c r="E1" s="708"/>
      <c r="F1" s="708"/>
      <c r="G1" s="708"/>
      <c r="H1" s="421"/>
      <c r="I1" s="421"/>
      <c r="J1" s="708"/>
      <c r="K1" s="708"/>
      <c r="L1" s="708"/>
      <c r="M1" s="708"/>
      <c r="N1" s="708"/>
      <c r="O1" s="708"/>
      <c r="P1" s="708"/>
      <c r="Q1" s="708"/>
      <c r="R1" s="708"/>
      <c r="S1" s="708"/>
    </row>
    <row r="2" spans="1:19">
      <c r="B2" s="686"/>
    </row>
    <row r="3" spans="1:19">
      <c r="A3" s="4500"/>
      <c r="B3" s="685"/>
      <c r="C3" s="4500"/>
      <c r="D3" s="4500"/>
      <c r="E3" s="4500"/>
      <c r="F3" s="4500"/>
      <c r="G3" s="4500"/>
      <c r="H3" s="4500"/>
      <c r="I3" s="4500"/>
      <c r="J3" s="4500"/>
      <c r="K3" s="4500"/>
      <c r="L3" s="4500"/>
      <c r="M3" s="4500"/>
      <c r="N3" s="4500"/>
      <c r="O3" s="4500"/>
      <c r="P3" s="4500"/>
      <c r="Q3" s="4500"/>
      <c r="R3" s="4500"/>
      <c r="S3" s="4500"/>
    </row>
    <row r="4" spans="1:19">
      <c r="A4" s="4500"/>
      <c r="B4" s="2855">
        <v>2022</v>
      </c>
      <c r="C4" s="2050"/>
      <c r="D4" s="2050"/>
      <c r="E4" s="2050"/>
      <c r="F4" s="2050"/>
      <c r="G4" s="2050"/>
      <c r="H4" s="2050"/>
      <c r="I4" s="2050"/>
      <c r="J4" s="2050"/>
      <c r="K4" s="2050"/>
      <c r="L4" s="4500"/>
      <c r="M4" s="4500"/>
      <c r="N4" s="4500"/>
      <c r="O4" s="4500"/>
      <c r="P4" s="4500"/>
      <c r="Q4" s="4500"/>
      <c r="R4" s="4500"/>
      <c r="S4" s="4500"/>
    </row>
    <row r="5" spans="1:19">
      <c r="A5" s="4500"/>
      <c r="B5" s="4925" t="s">
        <v>1428</v>
      </c>
      <c r="C5" s="5727" t="s">
        <v>148</v>
      </c>
      <c r="D5" s="5728"/>
      <c r="E5" s="5728"/>
      <c r="F5" s="5728"/>
      <c r="G5" s="5728"/>
      <c r="H5" s="5729"/>
      <c r="I5" s="4925"/>
      <c r="J5" s="4925"/>
      <c r="K5" s="5730" t="s">
        <v>53</v>
      </c>
      <c r="L5" s="4500"/>
      <c r="M5" s="4500"/>
      <c r="N5" s="4500"/>
      <c r="O5" s="4500"/>
      <c r="P5" s="4500"/>
      <c r="Q5" s="4500"/>
      <c r="R5" s="4500"/>
      <c r="S5" s="4500"/>
    </row>
    <row r="6" spans="1:19">
      <c r="A6" s="4500"/>
      <c r="B6" s="4925" t="s">
        <v>766</v>
      </c>
      <c r="C6" s="4925" t="s">
        <v>761</v>
      </c>
      <c r="D6" s="4925" t="s">
        <v>762</v>
      </c>
      <c r="E6" s="4925" t="s">
        <v>764</v>
      </c>
      <c r="F6" s="4925" t="s">
        <v>763</v>
      </c>
      <c r="G6" s="4925" t="s">
        <v>1059</v>
      </c>
      <c r="H6" s="4925" t="s">
        <v>1058</v>
      </c>
      <c r="I6" s="4925"/>
      <c r="J6" s="4925"/>
      <c r="K6" s="5731"/>
      <c r="L6" s="4500"/>
      <c r="M6" s="4500"/>
      <c r="N6" s="4500"/>
      <c r="O6" s="4500"/>
      <c r="P6" s="4500"/>
      <c r="Q6" s="4500"/>
      <c r="R6" s="4500"/>
      <c r="S6" s="4500"/>
    </row>
    <row r="7" spans="1:19">
      <c r="A7" s="4500"/>
      <c r="B7" s="4926" t="s">
        <v>785</v>
      </c>
      <c r="C7" s="4926">
        <v>0</v>
      </c>
      <c r="D7" s="4926">
        <v>0</v>
      </c>
      <c r="E7" s="4926">
        <v>0</v>
      </c>
      <c r="F7" s="4926">
        <v>0</v>
      </c>
      <c r="G7" s="4926">
        <v>0</v>
      </c>
      <c r="H7" s="4926">
        <v>9</v>
      </c>
      <c r="I7" s="4926"/>
      <c r="J7" s="4926"/>
      <c r="K7" s="4926">
        <v>9</v>
      </c>
      <c r="L7" s="4500"/>
      <c r="M7" s="4500"/>
      <c r="N7" s="4500"/>
      <c r="O7" s="4500"/>
      <c r="P7" s="4500"/>
      <c r="Q7" s="4500"/>
      <c r="R7" s="4500"/>
      <c r="S7" s="4500"/>
    </row>
    <row r="8" spans="1:19">
      <c r="A8" s="21"/>
      <c r="B8" s="4926" t="s">
        <v>783</v>
      </c>
      <c r="C8" s="4926">
        <v>0</v>
      </c>
      <c r="D8" s="4926">
        <v>0</v>
      </c>
      <c r="E8" s="4926">
        <v>0</v>
      </c>
      <c r="F8" s="4926">
        <v>0</v>
      </c>
      <c r="G8" s="4926">
        <v>0</v>
      </c>
      <c r="H8" s="4926">
        <v>10</v>
      </c>
      <c r="I8" s="4926"/>
      <c r="J8" s="4926"/>
      <c r="K8" s="4926">
        <v>10</v>
      </c>
      <c r="L8" s="4500"/>
      <c r="M8" s="4500"/>
      <c r="N8" s="4500"/>
      <c r="O8" s="21"/>
      <c r="P8" s="21"/>
      <c r="Q8" s="21"/>
      <c r="R8" s="21"/>
      <c r="S8" s="21"/>
    </row>
    <row r="9" spans="1:19">
      <c r="A9" s="4500"/>
      <c r="B9" s="4926" t="s">
        <v>786</v>
      </c>
      <c r="C9" s="4926">
        <v>4</v>
      </c>
      <c r="D9" s="4926">
        <v>2</v>
      </c>
      <c r="E9" s="4926">
        <v>2</v>
      </c>
      <c r="F9" s="4926">
        <v>0</v>
      </c>
      <c r="G9" s="4926">
        <v>0</v>
      </c>
      <c r="H9" s="4926">
        <v>0</v>
      </c>
      <c r="I9" s="4926"/>
      <c r="J9" s="4926"/>
      <c r="K9" s="4926">
        <v>8</v>
      </c>
      <c r="L9" s="4500"/>
      <c r="M9" s="4500"/>
      <c r="N9" s="4500"/>
      <c r="O9" s="4500"/>
      <c r="P9" s="4500"/>
      <c r="Q9" s="4500"/>
      <c r="R9" s="4500"/>
      <c r="S9" s="4500"/>
    </row>
    <row r="10" spans="1:19">
      <c r="A10" s="4500"/>
      <c r="B10" s="4926" t="s">
        <v>198</v>
      </c>
      <c r="C10" s="4926">
        <v>0</v>
      </c>
      <c r="D10" s="4926">
        <v>0</v>
      </c>
      <c r="E10" s="4926">
        <v>13</v>
      </c>
      <c r="F10" s="4926">
        <v>264</v>
      </c>
      <c r="G10" s="4926">
        <v>243</v>
      </c>
      <c r="H10" s="4926">
        <v>0</v>
      </c>
      <c r="I10" s="4926"/>
      <c r="J10" s="4926"/>
      <c r="K10" s="4926">
        <v>520</v>
      </c>
      <c r="L10" s="4500"/>
      <c r="M10" s="4500"/>
      <c r="N10" s="4500"/>
      <c r="O10" s="4500"/>
      <c r="P10" s="4500"/>
      <c r="Q10" s="4500"/>
      <c r="R10" s="4500"/>
      <c r="S10" s="4500"/>
    </row>
    <row r="11" spans="1:19">
      <c r="A11" s="4500"/>
      <c r="B11" s="4926" t="s">
        <v>784</v>
      </c>
      <c r="C11" s="4926">
        <v>3</v>
      </c>
      <c r="D11" s="4926">
        <v>7</v>
      </c>
      <c r="E11" s="4926">
        <v>14</v>
      </c>
      <c r="F11" s="4926">
        <v>0</v>
      </c>
      <c r="G11" s="4926">
        <v>0</v>
      </c>
      <c r="H11" s="4926">
        <v>0</v>
      </c>
      <c r="I11" s="4926"/>
      <c r="J11" s="4926"/>
      <c r="K11" s="4926">
        <v>24</v>
      </c>
      <c r="L11" s="4500"/>
      <c r="M11" s="4500"/>
      <c r="N11" s="4500"/>
      <c r="O11" s="4500"/>
      <c r="P11" s="4500"/>
      <c r="Q11" s="4500"/>
      <c r="R11" s="4500"/>
      <c r="S11" s="4500"/>
    </row>
    <row r="12" spans="1:19">
      <c r="A12" s="4500"/>
      <c r="B12" s="4926" t="s">
        <v>270</v>
      </c>
      <c r="C12" s="4926">
        <v>12</v>
      </c>
      <c r="D12" s="4926">
        <v>26</v>
      </c>
      <c r="E12" s="4926">
        <v>67</v>
      </c>
      <c r="F12" s="4926">
        <v>39</v>
      </c>
      <c r="G12" s="4926">
        <v>0</v>
      </c>
      <c r="H12" s="4926">
        <v>0</v>
      </c>
      <c r="I12" s="4926"/>
      <c r="J12" s="4926"/>
      <c r="K12" s="4926">
        <v>144</v>
      </c>
      <c r="L12" s="4500"/>
      <c r="M12" s="4500"/>
      <c r="N12" s="4500"/>
      <c r="O12" s="4500"/>
      <c r="P12" s="4500"/>
      <c r="Q12" s="4500"/>
      <c r="R12" s="4500"/>
      <c r="S12" s="4500"/>
    </row>
    <row r="13" spans="1:19">
      <c r="A13" s="4500"/>
      <c r="B13" s="4926" t="s">
        <v>756</v>
      </c>
      <c r="C13" s="4926">
        <v>2</v>
      </c>
      <c r="D13" s="4926">
        <v>4</v>
      </c>
      <c r="E13" s="4926">
        <v>1</v>
      </c>
      <c r="F13" s="4926">
        <v>0</v>
      </c>
      <c r="G13" s="4926">
        <v>0</v>
      </c>
      <c r="H13" s="4926">
        <v>0</v>
      </c>
      <c r="I13" s="4926"/>
      <c r="J13" s="4926"/>
      <c r="K13" s="4926">
        <v>7</v>
      </c>
      <c r="L13" s="4500"/>
      <c r="M13" s="4500"/>
      <c r="N13" s="4500"/>
      <c r="O13" s="4500"/>
      <c r="P13" s="4500"/>
      <c r="Q13" s="4500"/>
      <c r="R13" s="4500"/>
      <c r="S13" s="4500"/>
    </row>
    <row r="14" spans="1:19">
      <c r="A14" s="4500"/>
      <c r="B14" s="4926" t="s">
        <v>271</v>
      </c>
      <c r="C14" s="4926">
        <v>0</v>
      </c>
      <c r="D14" s="4926">
        <v>0</v>
      </c>
      <c r="E14" s="4926">
        <v>0</v>
      </c>
      <c r="F14" s="4926">
        <v>0</v>
      </c>
      <c r="G14" s="4926">
        <v>0</v>
      </c>
      <c r="H14" s="4926">
        <v>1</v>
      </c>
      <c r="I14" s="4926"/>
      <c r="J14" s="4926"/>
      <c r="K14" s="4926">
        <v>1</v>
      </c>
      <c r="L14" s="4500"/>
      <c r="M14" s="4500"/>
      <c r="N14" s="4500"/>
      <c r="O14" s="4500"/>
      <c r="P14" s="4500"/>
      <c r="Q14" s="4500"/>
      <c r="R14" s="4500"/>
      <c r="S14" s="4500"/>
    </row>
    <row r="15" spans="1:19">
      <c r="A15" s="4500"/>
      <c r="B15" s="4927" t="s">
        <v>53</v>
      </c>
      <c r="C15" s="4927">
        <f t="shared" ref="C15:H15" si="0">SUM(C7:C14)</f>
        <v>21</v>
      </c>
      <c r="D15" s="4927">
        <f t="shared" si="0"/>
        <v>39</v>
      </c>
      <c r="E15" s="4927">
        <f t="shared" si="0"/>
        <v>97</v>
      </c>
      <c r="F15" s="4927">
        <f t="shared" si="0"/>
        <v>303</v>
      </c>
      <c r="G15" s="4927">
        <f t="shared" si="0"/>
        <v>243</v>
      </c>
      <c r="H15" s="4927">
        <f t="shared" si="0"/>
        <v>20</v>
      </c>
      <c r="I15" s="4927"/>
      <c r="J15" s="4927"/>
      <c r="K15" s="4928">
        <f>SUM(K7:K14)</f>
        <v>723</v>
      </c>
      <c r="L15" s="4500"/>
      <c r="M15" s="4500"/>
      <c r="N15" s="4500"/>
      <c r="O15" s="4500"/>
      <c r="P15" s="4500"/>
      <c r="Q15" s="4500"/>
      <c r="R15" s="4500"/>
      <c r="S15" s="4500"/>
    </row>
    <row r="16" spans="1:19" ht="21.6">
      <c r="A16" s="4500"/>
      <c r="B16" s="4923" t="s">
        <v>1969</v>
      </c>
      <c r="C16" s="575">
        <f t="shared" ref="C16:H16" si="1">C15/$K$15</f>
        <v>2.9045643153526972E-2</v>
      </c>
      <c r="D16" s="575">
        <f t="shared" si="1"/>
        <v>5.3941908713692949E-2</v>
      </c>
      <c r="E16" s="575">
        <f t="shared" si="1"/>
        <v>0.13416320885200553</v>
      </c>
      <c r="F16" s="575">
        <f t="shared" si="1"/>
        <v>0.41908713692946059</v>
      </c>
      <c r="G16" s="575">
        <f t="shared" si="1"/>
        <v>0.33609958506224069</v>
      </c>
      <c r="H16" s="575">
        <f t="shared" si="1"/>
        <v>2.7662517289073305E-2</v>
      </c>
      <c r="I16" s="575"/>
      <c r="J16" s="575"/>
      <c r="K16" s="575"/>
      <c r="L16" s="4500"/>
      <c r="M16" s="4500"/>
      <c r="N16" s="4500"/>
      <c r="O16" s="4500"/>
      <c r="P16" s="4500"/>
      <c r="Q16" s="4500"/>
      <c r="R16" s="4500"/>
      <c r="S16" s="4500"/>
    </row>
    <row r="17" spans="1:19">
      <c r="A17" s="4500"/>
      <c r="B17" s="4500"/>
      <c r="C17" s="4500"/>
      <c r="D17" s="4500"/>
      <c r="E17" s="4500"/>
      <c r="F17" s="4500"/>
      <c r="G17" s="4500"/>
      <c r="H17" s="4500"/>
      <c r="I17" s="4500"/>
      <c r="J17" s="4500"/>
      <c r="K17" s="4500"/>
      <c r="L17" s="4500"/>
      <c r="M17" s="4500"/>
      <c r="N17" s="4500"/>
      <c r="O17" s="4500"/>
      <c r="P17" s="4500"/>
      <c r="Q17" s="4500"/>
      <c r="R17" s="4500"/>
      <c r="S17" s="4500"/>
    </row>
    <row r="18" spans="1:19">
      <c r="A18" s="4500"/>
      <c r="B18" s="4500"/>
      <c r="C18" s="4500"/>
      <c r="D18" s="4500"/>
      <c r="E18" s="4500"/>
      <c r="F18" s="4500"/>
      <c r="G18" s="4500"/>
      <c r="H18" s="4500"/>
      <c r="I18" s="4500"/>
      <c r="J18" s="4500"/>
      <c r="K18" s="4500"/>
      <c r="L18" s="4500"/>
      <c r="M18" s="4500"/>
      <c r="N18" s="4500"/>
      <c r="O18" s="4500"/>
      <c r="P18" s="4500"/>
      <c r="Q18" s="4500"/>
      <c r="R18" s="4500"/>
      <c r="S18" s="4500"/>
    </row>
    <row r="19" spans="1:19">
      <c r="B19" s="686"/>
    </row>
    <row r="20" spans="1:19">
      <c r="B20" s="4929">
        <v>2021</v>
      </c>
      <c r="C20" s="4930"/>
      <c r="D20" s="4930"/>
      <c r="E20" s="4930"/>
      <c r="F20" s="4930"/>
      <c r="G20" s="4930"/>
      <c r="H20" s="4930"/>
      <c r="I20" s="4930"/>
      <c r="J20" s="4930"/>
      <c r="K20" s="4930"/>
    </row>
    <row r="21" spans="1:19">
      <c r="B21" s="4931" t="s">
        <v>1428</v>
      </c>
      <c r="C21" s="5722" t="s">
        <v>148</v>
      </c>
      <c r="D21" s="5723"/>
      <c r="E21" s="5723"/>
      <c r="F21" s="5723"/>
      <c r="G21" s="5723"/>
      <c r="H21" s="5724"/>
      <c r="I21" s="4931"/>
      <c r="J21" s="4931"/>
      <c r="K21" s="5725" t="s">
        <v>53</v>
      </c>
    </row>
    <row r="22" spans="1:19">
      <c r="B22" s="4931" t="s">
        <v>766</v>
      </c>
      <c r="C22" s="4931" t="s">
        <v>761</v>
      </c>
      <c r="D22" s="4931" t="s">
        <v>762</v>
      </c>
      <c r="E22" s="4931" t="s">
        <v>764</v>
      </c>
      <c r="F22" s="4931" t="s">
        <v>763</v>
      </c>
      <c r="G22" s="4931" t="s">
        <v>1059</v>
      </c>
      <c r="H22" s="4931" t="s">
        <v>1058</v>
      </c>
      <c r="I22" s="4931"/>
      <c r="J22" s="4931"/>
      <c r="K22" s="5726"/>
    </row>
    <row r="23" spans="1:19">
      <c r="B23" s="4932" t="s">
        <v>785</v>
      </c>
      <c r="C23" s="4932">
        <v>0</v>
      </c>
      <c r="D23" s="4932">
        <v>0</v>
      </c>
      <c r="E23" s="4932">
        <v>0</v>
      </c>
      <c r="F23" s="4932">
        <v>0</v>
      </c>
      <c r="G23" s="4932">
        <v>0</v>
      </c>
      <c r="H23" s="4932">
        <v>5</v>
      </c>
      <c r="I23" s="4932"/>
      <c r="J23" s="4932"/>
      <c r="K23" s="4932">
        <v>5</v>
      </c>
    </row>
    <row r="24" spans="1:19">
      <c r="A24" s="21"/>
      <c r="B24" s="4932" t="s">
        <v>783</v>
      </c>
      <c r="C24" s="4932">
        <v>0</v>
      </c>
      <c r="D24" s="4932">
        <v>0</v>
      </c>
      <c r="E24" s="4932">
        <v>0</v>
      </c>
      <c r="F24" s="4932">
        <v>0</v>
      </c>
      <c r="G24" s="4932">
        <v>0</v>
      </c>
      <c r="H24" s="4932">
        <v>9</v>
      </c>
      <c r="I24" s="4932"/>
      <c r="J24" s="4932"/>
      <c r="K24" s="4932">
        <v>9</v>
      </c>
      <c r="O24" s="21"/>
      <c r="P24" s="21"/>
      <c r="Q24" s="21"/>
      <c r="R24" s="21"/>
      <c r="S24" s="21"/>
    </row>
    <row r="25" spans="1:19">
      <c r="B25" s="4932" t="s">
        <v>786</v>
      </c>
      <c r="C25" s="4932">
        <v>3</v>
      </c>
      <c r="D25" s="4932">
        <v>1</v>
      </c>
      <c r="E25" s="4932">
        <v>2</v>
      </c>
      <c r="F25" s="4932">
        <v>0</v>
      </c>
      <c r="G25" s="4932">
        <v>0</v>
      </c>
      <c r="H25" s="4932">
        <v>0</v>
      </c>
      <c r="I25" s="4932"/>
      <c r="J25" s="4932"/>
      <c r="K25" s="4932">
        <v>6</v>
      </c>
    </row>
    <row r="26" spans="1:19">
      <c r="B26" s="4932" t="s">
        <v>198</v>
      </c>
      <c r="C26" s="4932">
        <v>0</v>
      </c>
      <c r="D26" s="4932">
        <v>0</v>
      </c>
      <c r="E26" s="4932">
        <v>23</v>
      </c>
      <c r="F26" s="4932">
        <v>284</v>
      </c>
      <c r="G26" s="4932">
        <v>233</v>
      </c>
      <c r="H26" s="4932">
        <v>0</v>
      </c>
      <c r="I26" s="4932"/>
      <c r="J26" s="4932"/>
      <c r="K26" s="4932">
        <v>540</v>
      </c>
    </row>
    <row r="27" spans="1:19">
      <c r="B27" s="4932" t="s">
        <v>784</v>
      </c>
      <c r="C27" s="4932">
        <v>3</v>
      </c>
      <c r="D27" s="4932">
        <v>9</v>
      </c>
      <c r="E27" s="4932">
        <v>16</v>
      </c>
      <c r="F27" s="4932">
        <v>0</v>
      </c>
      <c r="G27" s="4932">
        <v>0</v>
      </c>
      <c r="H27" s="4932">
        <v>0</v>
      </c>
      <c r="I27" s="4932"/>
      <c r="J27" s="4932"/>
      <c r="K27" s="4932">
        <v>28</v>
      </c>
    </row>
    <row r="28" spans="1:19">
      <c r="B28" s="4932" t="s">
        <v>270</v>
      </c>
      <c r="C28" s="4932">
        <v>12</v>
      </c>
      <c r="D28" s="4932">
        <v>27</v>
      </c>
      <c r="E28" s="4932">
        <v>65</v>
      </c>
      <c r="F28" s="4932">
        <v>36</v>
      </c>
      <c r="G28" s="4932">
        <v>0</v>
      </c>
      <c r="H28" s="4932">
        <v>0</v>
      </c>
      <c r="I28" s="4932"/>
      <c r="J28" s="4932"/>
      <c r="K28" s="4932">
        <v>140</v>
      </c>
    </row>
    <row r="29" spans="1:19">
      <c r="B29" s="4932" t="s">
        <v>756</v>
      </c>
      <c r="C29" s="4932">
        <v>2</v>
      </c>
      <c r="D29" s="4932">
        <v>3</v>
      </c>
      <c r="E29" s="4932">
        <v>1</v>
      </c>
      <c r="F29" s="4932">
        <v>0</v>
      </c>
      <c r="G29" s="4932">
        <v>0</v>
      </c>
      <c r="H29" s="4932">
        <v>0</v>
      </c>
      <c r="I29" s="4932"/>
      <c r="J29" s="4932"/>
      <c r="K29" s="4932">
        <v>6</v>
      </c>
    </row>
    <row r="30" spans="1:19">
      <c r="B30" s="4932" t="s">
        <v>271</v>
      </c>
      <c r="C30" s="4932">
        <v>0</v>
      </c>
      <c r="D30" s="4932">
        <v>0</v>
      </c>
      <c r="E30" s="4932">
        <v>0</v>
      </c>
      <c r="F30" s="4932">
        <v>0</v>
      </c>
      <c r="G30" s="4932">
        <v>0</v>
      </c>
      <c r="H30" s="4932">
        <v>1</v>
      </c>
      <c r="I30" s="4932"/>
      <c r="J30" s="4932"/>
      <c r="K30" s="4932">
        <v>1</v>
      </c>
    </row>
    <row r="31" spans="1:19">
      <c r="B31" s="4932" t="s">
        <v>53</v>
      </c>
      <c r="C31" s="4932">
        <f t="shared" ref="C31:H31" si="2">SUM(C23:C30)</f>
        <v>20</v>
      </c>
      <c r="D31" s="4932">
        <f t="shared" si="2"/>
        <v>40</v>
      </c>
      <c r="E31" s="4932">
        <f t="shared" si="2"/>
        <v>107</v>
      </c>
      <c r="F31" s="4932">
        <f t="shared" si="2"/>
        <v>320</v>
      </c>
      <c r="G31" s="4932">
        <f t="shared" si="2"/>
        <v>233</v>
      </c>
      <c r="H31" s="4932">
        <f t="shared" si="2"/>
        <v>15</v>
      </c>
      <c r="I31" s="4932"/>
      <c r="J31" s="4932"/>
      <c r="K31" s="4931">
        <f>SUM(K23:K30)</f>
        <v>735</v>
      </c>
    </row>
    <row r="32" spans="1:19">
      <c r="B32" s="4933" t="s">
        <v>1427</v>
      </c>
      <c r="C32" s="4934">
        <f t="shared" ref="C32:H32" si="3">C31/$K$31</f>
        <v>2.7210884353741496E-2</v>
      </c>
      <c r="D32" s="4934">
        <f t="shared" si="3"/>
        <v>5.4421768707482991E-2</v>
      </c>
      <c r="E32" s="4934">
        <f t="shared" si="3"/>
        <v>0.14557823129251701</v>
      </c>
      <c r="F32" s="4934">
        <f t="shared" si="3"/>
        <v>0.43537414965986393</v>
      </c>
      <c r="G32" s="4934">
        <f t="shared" si="3"/>
        <v>0.31700680272108844</v>
      </c>
      <c r="H32" s="4934">
        <f t="shared" si="3"/>
        <v>2.0408163265306121E-2</v>
      </c>
      <c r="I32" s="4934"/>
      <c r="J32" s="4934"/>
      <c r="K32" s="4934"/>
    </row>
  </sheetData>
  <mergeCells count="4">
    <mergeCell ref="C21:H21"/>
    <mergeCell ref="K21:K22"/>
    <mergeCell ref="C5:H5"/>
    <mergeCell ref="K5:K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P52"/>
  <sheetViews>
    <sheetView workbookViewId="0">
      <selection activeCell="H25" sqref="H25"/>
    </sheetView>
  </sheetViews>
  <sheetFormatPr baseColWidth="10" defaultRowHeight="14.4"/>
  <cols>
    <col min="1" max="1" width="4.44140625" customWidth="1"/>
    <col min="2" max="2" width="20.6640625" customWidth="1"/>
    <col min="3" max="3" width="17" bestFit="1" customWidth="1"/>
    <col min="4" max="4" width="14.109375" customWidth="1"/>
    <col min="5" max="5" width="14" customWidth="1"/>
    <col min="6" max="6" width="5.6640625" customWidth="1"/>
    <col min="7" max="7" width="9.6640625" bestFit="1" customWidth="1"/>
  </cols>
  <sheetData>
    <row r="1" spans="1:16" ht="21">
      <c r="A1" s="708"/>
      <c r="B1" s="1067" t="s">
        <v>894</v>
      </c>
      <c r="C1" s="708"/>
      <c r="D1" s="708"/>
      <c r="E1" s="708"/>
      <c r="F1" s="708"/>
      <c r="G1" s="449"/>
    </row>
    <row r="2" spans="1:16">
      <c r="A2" s="708"/>
      <c r="B2" s="708"/>
      <c r="C2" s="2190"/>
      <c r="D2" s="2191"/>
      <c r="E2" s="2191"/>
      <c r="F2" s="708"/>
      <c r="G2" s="449"/>
    </row>
    <row r="3" spans="1:16">
      <c r="A3" s="708"/>
      <c r="B3" s="2856">
        <v>2022</v>
      </c>
      <c r="C3" s="2190"/>
      <c r="D3" s="2191"/>
      <c r="E3" s="2191"/>
      <c r="F3" s="708"/>
      <c r="G3" s="2190"/>
      <c r="H3" s="4500"/>
      <c r="I3" s="4500"/>
      <c r="J3" s="4500"/>
      <c r="K3" s="4500"/>
      <c r="L3" s="4500"/>
      <c r="M3" s="4500"/>
      <c r="N3" s="4500"/>
      <c r="O3" s="4500"/>
      <c r="P3" s="4500"/>
    </row>
    <row r="4" spans="1:16" ht="28.8">
      <c r="A4" s="708"/>
      <c r="B4" s="2198" t="s">
        <v>1355</v>
      </c>
      <c r="C4" s="3835" t="s">
        <v>1430</v>
      </c>
      <c r="D4" s="3835" t="s">
        <v>1431</v>
      </c>
      <c r="E4" s="3835" t="s">
        <v>1432</v>
      </c>
      <c r="F4" s="708"/>
      <c r="G4" s="2191" t="s">
        <v>1429</v>
      </c>
      <c r="H4" s="4500"/>
      <c r="I4" s="4500"/>
      <c r="J4" s="4500"/>
      <c r="K4" s="4500"/>
      <c r="L4" s="4500"/>
      <c r="M4" s="4500"/>
      <c r="N4" s="4500"/>
      <c r="O4" s="4500"/>
      <c r="P4" s="4500"/>
    </row>
    <row r="5" spans="1:16">
      <c r="A5" s="708"/>
      <c r="B5" s="708" t="s">
        <v>783</v>
      </c>
      <c r="C5" s="498">
        <v>9</v>
      </c>
      <c r="D5" s="498">
        <v>38</v>
      </c>
      <c r="E5" s="498">
        <v>59</v>
      </c>
      <c r="F5" s="708"/>
      <c r="G5" s="2190"/>
      <c r="H5" s="4500"/>
      <c r="I5" s="4500"/>
      <c r="J5" s="4500"/>
      <c r="K5" s="4500"/>
      <c r="L5" s="4500"/>
      <c r="M5" s="4500"/>
      <c r="N5" s="4500"/>
      <c r="O5" s="4500"/>
      <c r="P5" s="4500"/>
    </row>
    <row r="6" spans="1:16" ht="15" thickBot="1">
      <c r="A6" s="2189"/>
      <c r="B6" s="4935" t="s">
        <v>1403</v>
      </c>
      <c r="C6" s="2189">
        <v>9</v>
      </c>
      <c r="D6" s="2189">
        <v>38</v>
      </c>
      <c r="E6" s="2189">
        <v>59</v>
      </c>
      <c r="F6" s="2189"/>
      <c r="G6" s="2296">
        <v>5</v>
      </c>
      <c r="H6" s="4500"/>
      <c r="I6" s="4500"/>
      <c r="J6" s="4500"/>
      <c r="K6" s="4500"/>
      <c r="L6" s="4500"/>
      <c r="M6" s="4500"/>
      <c r="N6" s="4500"/>
      <c r="O6" s="4500"/>
      <c r="P6" s="4500"/>
    </row>
    <row r="7" spans="1:16">
      <c r="A7" s="708"/>
      <c r="B7" s="708" t="s">
        <v>786</v>
      </c>
      <c r="C7" s="498">
        <v>6</v>
      </c>
      <c r="D7" s="498">
        <v>59</v>
      </c>
      <c r="E7" s="498">
        <v>139</v>
      </c>
      <c r="F7" s="708"/>
      <c r="G7" s="2190"/>
      <c r="H7" s="4500"/>
      <c r="I7" s="4500"/>
      <c r="J7" s="4500"/>
      <c r="K7" s="4500"/>
      <c r="L7" s="4500"/>
      <c r="M7" s="4500"/>
      <c r="N7" s="4500"/>
      <c r="O7" s="4500"/>
      <c r="P7" s="4500"/>
    </row>
    <row r="8" spans="1:16">
      <c r="A8" s="708"/>
      <c r="B8" s="4936" t="s">
        <v>1404</v>
      </c>
      <c r="C8" s="708">
        <v>4</v>
      </c>
      <c r="D8" s="708">
        <v>42</v>
      </c>
      <c r="E8" s="708">
        <v>98</v>
      </c>
      <c r="F8" s="708"/>
      <c r="G8" s="2190">
        <v>2.75</v>
      </c>
      <c r="H8" s="4500"/>
      <c r="I8" s="4500"/>
      <c r="J8" s="4500"/>
      <c r="K8" s="4500"/>
      <c r="L8" s="4500"/>
      <c r="M8" s="4500"/>
      <c r="N8" s="4500"/>
      <c r="O8" s="4500"/>
      <c r="P8" s="4500"/>
    </row>
    <row r="9" spans="1:16" ht="15" thickBot="1">
      <c r="A9" s="2189"/>
      <c r="B9" s="4935" t="s">
        <v>1405</v>
      </c>
      <c r="C9" s="2189">
        <v>2</v>
      </c>
      <c r="D9" s="2189">
        <v>17</v>
      </c>
      <c r="E9" s="2189">
        <v>41</v>
      </c>
      <c r="F9" s="2189"/>
      <c r="G9" s="2296">
        <v>1.5</v>
      </c>
      <c r="H9" s="4500"/>
      <c r="I9" s="4500"/>
      <c r="J9" s="4500"/>
      <c r="K9" s="4500"/>
      <c r="L9" s="4500"/>
      <c r="M9" s="4500"/>
      <c r="N9" s="4500"/>
      <c r="O9" s="4500"/>
      <c r="P9" s="4500"/>
    </row>
    <row r="10" spans="1:16">
      <c r="A10" s="708"/>
      <c r="B10" s="708" t="s">
        <v>198</v>
      </c>
      <c r="C10" s="498">
        <v>13</v>
      </c>
      <c r="D10" s="498">
        <v>143</v>
      </c>
      <c r="E10" s="498">
        <v>284</v>
      </c>
      <c r="F10" s="708"/>
      <c r="G10" s="2190"/>
      <c r="H10" s="4500"/>
      <c r="I10" s="4500"/>
      <c r="J10" s="4500"/>
      <c r="K10" s="4500"/>
      <c r="L10" s="4500"/>
      <c r="M10" s="4500"/>
      <c r="N10" s="4500"/>
      <c r="O10" s="4500"/>
      <c r="P10" s="4500"/>
    </row>
    <row r="11" spans="1:16" ht="15" thickBot="1">
      <c r="A11" s="2189"/>
      <c r="B11" s="4935" t="s">
        <v>1406</v>
      </c>
      <c r="C11" s="2189">
        <v>13</v>
      </c>
      <c r="D11" s="2189">
        <v>143</v>
      </c>
      <c r="E11" s="2189">
        <v>284</v>
      </c>
      <c r="F11" s="2189"/>
      <c r="G11" s="2296">
        <v>1.5</v>
      </c>
      <c r="H11" s="4500"/>
      <c r="I11" s="4500"/>
      <c r="J11" s="4500"/>
      <c r="K11" s="4500"/>
      <c r="L11" s="4500"/>
      <c r="M11" s="4500"/>
      <c r="N11" s="4500"/>
      <c r="O11" s="4500"/>
      <c r="P11" s="4500"/>
    </row>
    <row r="12" spans="1:16">
      <c r="A12" s="708"/>
      <c r="B12" s="708" t="s">
        <v>784</v>
      </c>
      <c r="C12" s="498">
        <v>10</v>
      </c>
      <c r="D12" s="498">
        <v>130</v>
      </c>
      <c r="E12" s="498">
        <v>300</v>
      </c>
      <c r="F12" s="708"/>
      <c r="G12" s="2190"/>
      <c r="H12" s="4500"/>
      <c r="I12" s="4500"/>
      <c r="J12" s="4500"/>
      <c r="K12" s="4500"/>
      <c r="L12" s="4500"/>
      <c r="M12" s="4500"/>
      <c r="N12" s="4500"/>
      <c r="O12" s="4500"/>
      <c r="P12" s="4500"/>
    </row>
    <row r="13" spans="1:16">
      <c r="A13" s="708"/>
      <c r="B13" s="4936" t="s">
        <v>1404</v>
      </c>
      <c r="C13" s="708">
        <v>3</v>
      </c>
      <c r="D13" s="708">
        <v>59</v>
      </c>
      <c r="E13" s="708">
        <v>126</v>
      </c>
      <c r="F13" s="708"/>
      <c r="G13" s="2190">
        <v>2.75</v>
      </c>
      <c r="H13" s="4500"/>
      <c r="I13" s="4500"/>
      <c r="J13" s="4500"/>
      <c r="K13" s="4500"/>
      <c r="L13" s="4500"/>
      <c r="M13" s="4500"/>
      <c r="N13" s="4500"/>
      <c r="O13" s="4500"/>
      <c r="P13" s="4500"/>
    </row>
    <row r="14" spans="1:16" ht="15" thickBot="1">
      <c r="A14" s="2189"/>
      <c r="B14" s="4935" t="s">
        <v>1405</v>
      </c>
      <c r="C14" s="2189">
        <v>7</v>
      </c>
      <c r="D14" s="2189">
        <v>71</v>
      </c>
      <c r="E14" s="2189">
        <v>174</v>
      </c>
      <c r="F14" s="2189"/>
      <c r="G14" s="2296">
        <v>1.5</v>
      </c>
      <c r="H14" s="4500"/>
      <c r="I14" s="4500"/>
      <c r="J14" s="4500"/>
      <c r="K14" s="4500"/>
      <c r="L14" s="4500"/>
      <c r="M14" s="4500"/>
      <c r="N14" s="4500"/>
      <c r="O14" s="4500"/>
      <c r="P14" s="4500"/>
    </row>
    <row r="15" spans="1:16">
      <c r="A15" s="708"/>
      <c r="B15" s="708" t="s">
        <v>270</v>
      </c>
      <c r="C15" s="498">
        <v>38</v>
      </c>
      <c r="D15" s="498">
        <v>3006</v>
      </c>
      <c r="E15" s="498">
        <v>5929</v>
      </c>
      <c r="F15" s="708"/>
      <c r="G15" s="2190"/>
      <c r="H15" s="4500"/>
      <c r="I15" s="4500"/>
      <c r="J15" s="4500"/>
      <c r="K15" s="4500"/>
      <c r="L15" s="4500"/>
      <c r="M15" s="4500"/>
      <c r="N15" s="4500"/>
      <c r="O15" s="4500"/>
      <c r="P15" s="4500"/>
    </row>
    <row r="16" spans="1:16">
      <c r="A16" s="708"/>
      <c r="B16" s="4936" t="s">
        <v>1404</v>
      </c>
      <c r="C16" s="708">
        <v>12</v>
      </c>
      <c r="D16" s="708">
        <v>1698</v>
      </c>
      <c r="E16" s="708">
        <v>3451</v>
      </c>
      <c r="F16" s="708"/>
      <c r="G16" s="2190">
        <v>2.75</v>
      </c>
      <c r="H16" s="4500"/>
      <c r="I16" s="4500"/>
      <c r="J16" s="4500"/>
      <c r="K16" s="4500"/>
      <c r="L16" s="4500"/>
      <c r="M16" s="4500"/>
      <c r="N16" s="4500"/>
      <c r="O16" s="4500"/>
      <c r="P16" s="4500"/>
    </row>
    <row r="17" spans="1:16" ht="15" thickBot="1">
      <c r="A17" s="2189"/>
      <c r="B17" s="4935" t="s">
        <v>1405</v>
      </c>
      <c r="C17" s="2189">
        <v>26</v>
      </c>
      <c r="D17" s="2189">
        <v>1308</v>
      </c>
      <c r="E17" s="2189">
        <v>2478</v>
      </c>
      <c r="F17" s="2189"/>
      <c r="G17" s="2296">
        <v>1.5</v>
      </c>
      <c r="H17" s="4500"/>
      <c r="I17" s="4500"/>
      <c r="J17" s="4500"/>
      <c r="K17" s="4500"/>
      <c r="L17" s="4500"/>
      <c r="M17" s="4500"/>
      <c r="N17" s="4500"/>
      <c r="O17" s="4500"/>
      <c r="P17" s="4500"/>
    </row>
    <row r="18" spans="1:16">
      <c r="A18" s="708"/>
      <c r="B18" s="708" t="s">
        <v>756</v>
      </c>
      <c r="C18" s="498">
        <v>6</v>
      </c>
      <c r="D18" s="498">
        <v>73</v>
      </c>
      <c r="E18" s="498">
        <v>157</v>
      </c>
      <c r="F18" s="708"/>
      <c r="G18" s="2190"/>
      <c r="H18" s="4500"/>
      <c r="I18" s="4500"/>
      <c r="J18" s="4500"/>
      <c r="K18" s="4500"/>
      <c r="L18" s="4500"/>
      <c r="M18" s="4500"/>
      <c r="N18" s="4500"/>
      <c r="O18" s="4500"/>
      <c r="P18" s="4500"/>
    </row>
    <row r="19" spans="1:16">
      <c r="A19" s="708"/>
      <c r="B19" s="4936" t="s">
        <v>1404</v>
      </c>
      <c r="C19" s="708">
        <v>2</v>
      </c>
      <c r="D19" s="708">
        <v>32</v>
      </c>
      <c r="E19" s="708">
        <v>70</v>
      </c>
      <c r="F19" s="708"/>
      <c r="G19" s="2190">
        <v>2.75</v>
      </c>
      <c r="H19" s="4500"/>
      <c r="I19" s="4500"/>
      <c r="J19" s="4500"/>
      <c r="K19" s="4500"/>
      <c r="L19" s="4500"/>
      <c r="M19" s="4500"/>
      <c r="N19" s="4500"/>
      <c r="O19" s="4500"/>
      <c r="P19" s="4500"/>
    </row>
    <row r="20" spans="1:16" ht="15" thickBot="1">
      <c r="A20" s="2189"/>
      <c r="B20" s="4935" t="s">
        <v>1405</v>
      </c>
      <c r="C20" s="2189">
        <v>4</v>
      </c>
      <c r="D20" s="2189">
        <v>41</v>
      </c>
      <c r="E20" s="2189">
        <v>87</v>
      </c>
      <c r="F20" s="2189"/>
      <c r="G20" s="2296">
        <v>1.5</v>
      </c>
      <c r="H20" s="4500"/>
      <c r="I20" s="4500"/>
      <c r="J20" s="4500"/>
      <c r="K20" s="4500"/>
      <c r="L20" s="4500"/>
      <c r="M20" s="4500"/>
      <c r="N20" s="4500"/>
      <c r="O20" s="4500"/>
      <c r="P20" s="4500"/>
    </row>
    <row r="21" spans="1:16">
      <c r="A21" s="708"/>
      <c r="B21" s="708" t="s">
        <v>1407</v>
      </c>
      <c r="C21" s="2295">
        <v>0</v>
      </c>
      <c r="D21" s="2295">
        <v>0</v>
      </c>
      <c r="E21" s="2295">
        <v>0</v>
      </c>
      <c r="F21" s="708"/>
      <c r="G21" s="2190"/>
      <c r="H21" s="4500"/>
      <c r="I21" s="4500"/>
      <c r="J21" s="4500"/>
      <c r="K21" s="4500"/>
      <c r="L21" s="4500"/>
      <c r="M21" s="4500"/>
      <c r="N21" s="4500"/>
      <c r="O21" s="4500"/>
      <c r="P21" s="4500"/>
    </row>
    <row r="22" spans="1:16" ht="15" thickBot="1">
      <c r="A22" s="2189"/>
      <c r="B22" s="4935" t="s">
        <v>1403</v>
      </c>
      <c r="C22" s="2189"/>
      <c r="D22" s="2189"/>
      <c r="E22" s="2189"/>
      <c r="F22" s="2189"/>
      <c r="G22" s="2296">
        <v>5</v>
      </c>
      <c r="H22" s="4500"/>
      <c r="I22" s="4500"/>
      <c r="J22" s="4500"/>
      <c r="K22" s="4500"/>
      <c r="L22" s="4500"/>
      <c r="M22" s="4500"/>
      <c r="N22" s="4500"/>
      <c r="O22" s="4500"/>
      <c r="P22" s="4500"/>
    </row>
    <row r="23" spans="1:16">
      <c r="A23" s="708"/>
      <c r="B23" s="4937" t="s">
        <v>53</v>
      </c>
      <c r="C23" s="4937">
        <f>SUM(C5+C7+C10+C12+C15+C18)</f>
        <v>82</v>
      </c>
      <c r="D23" s="4937">
        <f>SUM(D5+D7+D10+D12+D15+D18)</f>
        <v>3449</v>
      </c>
      <c r="E23" s="4937">
        <f>SUM(E5+E7+E10+E12+E15+E18)</f>
        <v>6868</v>
      </c>
      <c r="F23" s="708"/>
      <c r="G23" s="2190"/>
      <c r="H23" s="4500"/>
      <c r="I23" s="4500"/>
      <c r="J23" s="4500"/>
      <c r="K23" s="4500"/>
      <c r="L23" s="4500"/>
      <c r="M23" s="4500"/>
      <c r="N23" s="4500"/>
      <c r="O23" s="4500"/>
      <c r="P23" s="4500"/>
    </row>
    <row r="24" spans="1:16" ht="21.6">
      <c r="A24" s="708"/>
      <c r="B24" s="4923" t="s">
        <v>1969</v>
      </c>
      <c r="C24" s="2191"/>
      <c r="D24" s="2191"/>
      <c r="E24" s="2191"/>
      <c r="F24" s="708"/>
      <c r="G24" s="2190"/>
      <c r="H24" s="4500"/>
      <c r="I24" s="4500"/>
      <c r="J24" s="4500"/>
      <c r="K24" s="4500"/>
      <c r="L24" s="4500"/>
      <c r="M24" s="4500"/>
      <c r="N24" s="4500"/>
      <c r="O24" s="4500"/>
      <c r="P24" s="4500"/>
    </row>
    <row r="25" spans="1:16">
      <c r="A25" s="708"/>
      <c r="B25" s="4938"/>
      <c r="C25" s="2191"/>
      <c r="D25" s="2191"/>
      <c r="E25" s="2191"/>
      <c r="F25" s="708"/>
      <c r="G25" s="2190"/>
      <c r="H25" s="4500"/>
      <c r="I25" s="4500"/>
      <c r="J25" s="4500"/>
      <c r="K25" s="4500"/>
      <c r="L25" s="4500"/>
      <c r="M25" s="4500"/>
      <c r="N25" s="4500"/>
      <c r="O25" s="4500"/>
      <c r="P25" s="4500"/>
    </row>
    <row r="26" spans="1:16">
      <c r="A26" s="708"/>
      <c r="B26" s="4938"/>
      <c r="C26" s="2191"/>
      <c r="D26" s="2191"/>
      <c r="E26" s="2191"/>
      <c r="F26" s="708"/>
      <c r="G26" s="2190"/>
      <c r="H26" s="4500"/>
      <c r="I26" s="4500"/>
      <c r="J26" s="4500"/>
      <c r="K26" s="4500"/>
      <c r="L26" s="4500"/>
      <c r="M26" s="4500"/>
      <c r="N26" s="4500"/>
      <c r="O26" s="4500"/>
      <c r="P26" s="4500"/>
    </row>
    <row r="27" spans="1:16">
      <c r="A27" s="421"/>
      <c r="B27" s="421"/>
      <c r="C27" s="421"/>
      <c r="D27" s="421"/>
      <c r="E27" s="421"/>
      <c r="F27" s="421"/>
      <c r="G27" s="449"/>
      <c r="H27" s="4500"/>
      <c r="I27" s="4500"/>
      <c r="J27" s="4500"/>
      <c r="K27" s="4500"/>
      <c r="L27" s="4500"/>
      <c r="M27" s="4500"/>
      <c r="N27" s="4500"/>
      <c r="O27" s="4500"/>
      <c r="P27" s="4500"/>
    </row>
    <row r="28" spans="1:16">
      <c r="A28" s="421"/>
      <c r="B28" s="449">
        <v>2021</v>
      </c>
      <c r="C28" s="449"/>
      <c r="D28" s="2197"/>
      <c r="E28" s="2197"/>
      <c r="F28" s="421"/>
      <c r="G28" s="449"/>
    </row>
    <row r="29" spans="1:16" ht="28.8">
      <c r="A29" s="421"/>
      <c r="B29" s="2192" t="s">
        <v>1355</v>
      </c>
      <c r="C29" s="4895" t="s">
        <v>1430</v>
      </c>
      <c r="D29" s="4895" t="s">
        <v>1431</v>
      </c>
      <c r="E29" s="4895" t="s">
        <v>1432</v>
      </c>
      <c r="F29" s="421"/>
      <c r="G29" s="2197" t="s">
        <v>1429</v>
      </c>
    </row>
    <row r="30" spans="1:16">
      <c r="A30" s="421"/>
      <c r="B30" s="421" t="s">
        <v>783</v>
      </c>
      <c r="C30" s="421">
        <v>9</v>
      </c>
      <c r="D30" s="421">
        <v>34</v>
      </c>
      <c r="E30" s="421">
        <v>53</v>
      </c>
      <c r="F30" s="421"/>
      <c r="G30" s="449"/>
    </row>
    <row r="31" spans="1:16" ht="15" thickBot="1">
      <c r="A31" s="2194"/>
      <c r="B31" s="2193" t="s">
        <v>1403</v>
      </c>
      <c r="C31" s="2194">
        <v>9</v>
      </c>
      <c r="D31" s="2194">
        <v>34</v>
      </c>
      <c r="E31" s="2194">
        <v>53</v>
      </c>
      <c r="F31" s="2194"/>
      <c r="G31" s="4939">
        <v>5</v>
      </c>
    </row>
    <row r="32" spans="1:16">
      <c r="A32" s="421"/>
      <c r="B32" s="421" t="s">
        <v>786</v>
      </c>
      <c r="C32" s="421">
        <v>4</v>
      </c>
      <c r="D32" s="421">
        <v>40</v>
      </c>
      <c r="E32" s="421">
        <v>101</v>
      </c>
      <c r="F32" s="421"/>
      <c r="G32" s="449"/>
    </row>
    <row r="33" spans="1:7">
      <c r="A33" s="421"/>
      <c r="B33" s="2195" t="s">
        <v>1404</v>
      </c>
      <c r="C33" s="421">
        <v>3</v>
      </c>
      <c r="D33" s="421">
        <v>34</v>
      </c>
      <c r="E33" s="421">
        <v>82</v>
      </c>
      <c r="F33" s="421"/>
      <c r="G33" s="449">
        <v>2.75</v>
      </c>
    </row>
    <row r="34" spans="1:7" ht="15" thickBot="1">
      <c r="A34" s="2194"/>
      <c r="B34" s="2193" t="s">
        <v>1405</v>
      </c>
      <c r="C34" s="2194">
        <v>1</v>
      </c>
      <c r="D34" s="2194">
        <v>6</v>
      </c>
      <c r="E34" s="2194">
        <v>19</v>
      </c>
      <c r="F34" s="2194"/>
      <c r="G34" s="4939">
        <v>1.5</v>
      </c>
    </row>
    <row r="35" spans="1:7">
      <c r="A35" s="421"/>
      <c r="B35" s="421" t="s">
        <v>198</v>
      </c>
      <c r="C35" s="421">
        <v>23</v>
      </c>
      <c r="D35" s="421">
        <v>288</v>
      </c>
      <c r="E35" s="421">
        <v>593</v>
      </c>
      <c r="F35" s="421"/>
      <c r="G35" s="449"/>
    </row>
    <row r="36" spans="1:7" ht="15" thickBot="1">
      <c r="A36" s="2194"/>
      <c r="B36" s="2193" t="s">
        <v>1406</v>
      </c>
      <c r="C36" s="2194">
        <v>23</v>
      </c>
      <c r="D36" s="2194">
        <v>288</v>
      </c>
      <c r="E36" s="2194">
        <v>593</v>
      </c>
      <c r="F36" s="2194"/>
      <c r="G36" s="4939">
        <v>1.5</v>
      </c>
    </row>
    <row r="37" spans="1:7">
      <c r="A37" s="421"/>
      <c r="B37" s="421" t="s">
        <v>784</v>
      </c>
      <c r="C37" s="421">
        <v>12</v>
      </c>
      <c r="D37" s="421">
        <v>146</v>
      </c>
      <c r="E37" s="421">
        <v>336</v>
      </c>
      <c r="F37" s="421"/>
      <c r="G37" s="449"/>
    </row>
    <row r="38" spans="1:7">
      <c r="A38" s="421"/>
      <c r="B38" s="2195" t="s">
        <v>1404</v>
      </c>
      <c r="C38" s="421">
        <v>3</v>
      </c>
      <c r="D38" s="421">
        <v>59</v>
      </c>
      <c r="E38" s="421">
        <v>126</v>
      </c>
      <c r="F38" s="421"/>
      <c r="G38" s="449">
        <v>2.75</v>
      </c>
    </row>
    <row r="39" spans="1:7" ht="15" thickBot="1">
      <c r="A39" s="2194"/>
      <c r="B39" s="2193" t="s">
        <v>1405</v>
      </c>
      <c r="C39" s="2194">
        <v>9</v>
      </c>
      <c r="D39" s="2194">
        <v>87</v>
      </c>
      <c r="E39" s="2194">
        <v>210</v>
      </c>
      <c r="F39" s="2194"/>
      <c r="G39" s="4939">
        <v>1.5</v>
      </c>
    </row>
    <row r="40" spans="1:7">
      <c r="A40" s="421"/>
      <c r="B40" s="421" t="s">
        <v>270</v>
      </c>
      <c r="C40" s="421">
        <v>39</v>
      </c>
      <c r="D40" s="421">
        <v>3004</v>
      </c>
      <c r="E40" s="421">
        <v>5984</v>
      </c>
      <c r="F40" s="421"/>
      <c r="G40" s="449"/>
    </row>
    <row r="41" spans="1:7">
      <c r="A41" s="421"/>
      <c r="B41" s="2195" t="s">
        <v>1404</v>
      </c>
      <c r="C41" s="421">
        <v>12</v>
      </c>
      <c r="D41" s="421">
        <v>1698</v>
      </c>
      <c r="E41" s="421">
        <v>3451</v>
      </c>
      <c r="F41" s="421"/>
      <c r="G41" s="449">
        <v>2.75</v>
      </c>
    </row>
    <row r="42" spans="1:7" ht="15" thickBot="1">
      <c r="A42" s="2194"/>
      <c r="B42" s="2193" t="s">
        <v>1405</v>
      </c>
      <c r="C42" s="2194">
        <v>27</v>
      </c>
      <c r="D42" s="2194">
        <v>1306</v>
      </c>
      <c r="E42" s="2194">
        <v>2533</v>
      </c>
      <c r="F42" s="2194"/>
      <c r="G42" s="4939">
        <v>1.5</v>
      </c>
    </row>
    <row r="43" spans="1:7">
      <c r="A43" s="421"/>
      <c r="B43" s="421" t="s">
        <v>756</v>
      </c>
      <c r="C43" s="421">
        <v>5</v>
      </c>
      <c r="D43" s="421">
        <v>66</v>
      </c>
      <c r="E43" s="421">
        <v>141</v>
      </c>
      <c r="F43" s="421"/>
      <c r="G43" s="449"/>
    </row>
    <row r="44" spans="1:7">
      <c r="A44" s="421"/>
      <c r="B44" s="2195" t="s">
        <v>1404</v>
      </c>
      <c r="C44" s="421">
        <v>2</v>
      </c>
      <c r="D44" s="421">
        <v>31</v>
      </c>
      <c r="E44" s="421">
        <v>66</v>
      </c>
      <c r="F44" s="421"/>
      <c r="G44" s="449">
        <v>2.75</v>
      </c>
    </row>
    <row r="45" spans="1:7" ht="15" thickBot="1">
      <c r="A45" s="2194"/>
      <c r="B45" s="2193" t="s">
        <v>1405</v>
      </c>
      <c r="C45" s="2194">
        <v>3</v>
      </c>
      <c r="D45" s="2194">
        <v>35</v>
      </c>
      <c r="E45" s="2194">
        <v>75</v>
      </c>
      <c r="F45" s="2194"/>
      <c r="G45" s="4939">
        <v>1.5</v>
      </c>
    </row>
    <row r="46" spans="1:7">
      <c r="A46" s="421"/>
      <c r="B46" s="421" t="s">
        <v>1407</v>
      </c>
      <c r="C46" s="4940">
        <v>0</v>
      </c>
      <c r="D46" s="4940">
        <v>0</v>
      </c>
      <c r="E46" s="4940">
        <v>0</v>
      </c>
      <c r="F46" s="421"/>
      <c r="G46" s="449"/>
    </row>
    <row r="47" spans="1:7" ht="15" thickBot="1">
      <c r="A47" s="2194"/>
      <c r="B47" s="2193" t="s">
        <v>1403</v>
      </c>
      <c r="C47" s="2194"/>
      <c r="D47" s="2194"/>
      <c r="E47" s="2194"/>
      <c r="F47" s="2194"/>
      <c r="G47" s="4939">
        <v>5</v>
      </c>
    </row>
    <row r="48" spans="1:7">
      <c r="A48" s="421"/>
      <c r="B48" s="424" t="s">
        <v>53</v>
      </c>
      <c r="C48" s="424">
        <f>SUM(C30+C32+C35+C37+C40+C43)</f>
        <v>92</v>
      </c>
      <c r="D48" s="424">
        <f>SUM(D30+D32+D35+D37+D40+D43)</f>
        <v>3578</v>
      </c>
      <c r="E48" s="424">
        <f>SUM(E30+E32+E35+E37+E40+E43)</f>
        <v>7208</v>
      </c>
      <c r="F48" s="421"/>
      <c r="G48" s="449"/>
    </row>
    <row r="49" spans="1:7">
      <c r="A49" s="421"/>
      <c r="B49" s="4933" t="s">
        <v>1427</v>
      </c>
      <c r="C49" s="2197"/>
      <c r="D49" s="2197"/>
      <c r="E49" s="2197"/>
      <c r="F49" s="421"/>
      <c r="G49" s="449"/>
    </row>
    <row r="50" spans="1:7">
      <c r="A50" s="708"/>
      <c r="B50" s="708"/>
      <c r="C50" s="708"/>
      <c r="D50" s="708"/>
      <c r="E50" s="708"/>
      <c r="F50" s="708"/>
      <c r="G50" s="2190"/>
    </row>
    <row r="51" spans="1:7">
      <c r="A51" s="708"/>
      <c r="B51" s="708"/>
      <c r="C51" s="708"/>
      <c r="D51" s="708"/>
      <c r="E51" s="708"/>
      <c r="F51" s="708"/>
      <c r="G51" s="2190"/>
    </row>
    <row r="52" spans="1:7">
      <c r="A52" s="708"/>
      <c r="B52" s="708"/>
      <c r="C52" s="708"/>
      <c r="D52" s="708"/>
      <c r="E52" s="708"/>
      <c r="F52" s="708"/>
      <c r="G52" s="2190"/>
    </row>
  </sheetData>
  <pageMargins left="0.7" right="0.7" top="0.75" bottom="0.75" header="0.3" footer="0.3"/>
  <drawing r:id="rId1"/>
  <tableParts count="2">
    <tablePart r:id="rId2"/>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J43"/>
  <sheetViews>
    <sheetView workbookViewId="0">
      <selection activeCell="B26" sqref="B26:D40"/>
    </sheetView>
  </sheetViews>
  <sheetFormatPr baseColWidth="10" defaultColWidth="11.5546875" defaultRowHeight="14.4"/>
  <cols>
    <col min="2" max="2" width="28.109375" bestFit="1" customWidth="1"/>
    <col min="3" max="4" width="13" customWidth="1"/>
    <col min="5" max="5" width="21.44140625" customWidth="1"/>
  </cols>
  <sheetData>
    <row r="1" spans="1:10" ht="21">
      <c r="A1" s="2198"/>
      <c r="B1" s="2314" t="s">
        <v>893</v>
      </c>
      <c r="C1" s="2198"/>
      <c r="D1" s="2198"/>
      <c r="E1" s="2198"/>
      <c r="F1" s="2198"/>
      <c r="G1" s="2198"/>
      <c r="H1" s="2192"/>
      <c r="I1" s="2192"/>
      <c r="J1" s="2198"/>
    </row>
    <row r="2" spans="1:10">
      <c r="A2" s="21"/>
      <c r="B2" s="21"/>
      <c r="C2" s="21"/>
      <c r="D2" s="21"/>
      <c r="E2" s="21"/>
      <c r="F2" s="21"/>
      <c r="G2" s="21"/>
      <c r="H2" s="21"/>
      <c r="I2" s="21"/>
      <c r="J2" s="21"/>
    </row>
    <row r="3" spans="1:10" ht="15" thickBot="1">
      <c r="A3" s="21"/>
      <c r="B3" s="2857">
        <v>2022</v>
      </c>
      <c r="C3" s="21"/>
      <c r="D3" s="21"/>
      <c r="E3" s="21"/>
      <c r="F3" s="21"/>
      <c r="G3" s="21"/>
      <c r="H3" s="21"/>
      <c r="I3" s="21"/>
      <c r="J3" s="21"/>
    </row>
    <row r="4" spans="1:10" ht="28.8">
      <c r="A4" s="21"/>
      <c r="B4" s="4941" t="s">
        <v>1434</v>
      </c>
      <c r="C4" s="2269" t="s">
        <v>1463</v>
      </c>
      <c r="D4" s="4942" t="s">
        <v>1431</v>
      </c>
      <c r="E4" s="3049"/>
      <c r="F4" s="2217"/>
      <c r="G4" s="5738" t="s">
        <v>864</v>
      </c>
      <c r="H4" s="5738"/>
      <c r="I4" s="5739" t="s">
        <v>865</v>
      </c>
      <c r="J4" s="5740"/>
    </row>
    <row r="5" spans="1:10">
      <c r="A5" s="21"/>
      <c r="B5" s="4943" t="s">
        <v>774</v>
      </c>
      <c r="C5" s="4944">
        <v>3593</v>
      </c>
      <c r="D5" s="4944">
        <v>1682</v>
      </c>
      <c r="E5" s="21"/>
      <c r="F5" s="2300"/>
      <c r="G5" s="20"/>
      <c r="H5" s="20"/>
      <c r="I5" s="2301"/>
      <c r="J5" s="2302"/>
    </row>
    <row r="6" spans="1:10">
      <c r="A6" s="21"/>
      <c r="B6" s="4943" t="s">
        <v>770</v>
      </c>
      <c r="C6" s="4944">
        <v>2015</v>
      </c>
      <c r="D6" s="4944">
        <v>942</v>
      </c>
      <c r="E6" s="21"/>
      <c r="F6" s="4945" t="s">
        <v>737</v>
      </c>
      <c r="G6" s="4946">
        <f>SUM(C5:C6)</f>
        <v>5608</v>
      </c>
      <c r="H6" s="2303">
        <f>G6/C19</f>
        <v>0.18725166115730074</v>
      </c>
      <c r="I6" s="2304">
        <f>SUM(D5:D6)</f>
        <v>2624</v>
      </c>
      <c r="J6" s="2305">
        <f>I6/D19</f>
        <v>0.18467168695896966</v>
      </c>
    </row>
    <row r="7" spans="1:10">
      <c r="A7" s="21"/>
      <c r="B7" s="4943" t="s">
        <v>777</v>
      </c>
      <c r="C7" s="4944">
        <v>129</v>
      </c>
      <c r="D7" s="4944">
        <v>53</v>
      </c>
      <c r="E7" s="21"/>
      <c r="F7" s="4947"/>
      <c r="G7" s="20"/>
      <c r="H7" s="20"/>
      <c r="I7" s="2301"/>
      <c r="J7" s="2302"/>
    </row>
    <row r="8" spans="1:10" ht="15" thickBot="1">
      <c r="A8" s="21"/>
      <c r="B8" s="4943" t="s">
        <v>767</v>
      </c>
      <c r="C8" s="4944">
        <v>7665</v>
      </c>
      <c r="D8" s="4944">
        <v>3506</v>
      </c>
      <c r="E8" s="21"/>
      <c r="F8" s="4948" t="s">
        <v>647</v>
      </c>
      <c r="G8" s="2306">
        <f>SUM(C8:C11)</f>
        <v>11354</v>
      </c>
      <c r="H8" s="2307">
        <f>G8/C19</f>
        <v>0.37911115563123976</v>
      </c>
      <c r="I8" s="2308">
        <f>SUM(D8:D11)</f>
        <v>5322</v>
      </c>
      <c r="J8" s="2309">
        <f>I8/D19</f>
        <v>0.37455134069955665</v>
      </c>
    </row>
    <row r="9" spans="1:10">
      <c r="A9" s="21"/>
      <c r="B9" s="4943" t="s">
        <v>775</v>
      </c>
      <c r="C9" s="4944">
        <v>791</v>
      </c>
      <c r="D9" s="4944">
        <v>381</v>
      </c>
      <c r="E9" s="21"/>
      <c r="F9" s="21"/>
      <c r="G9" s="21"/>
      <c r="H9" s="21"/>
      <c r="I9" s="21"/>
      <c r="J9" s="21"/>
    </row>
    <row r="10" spans="1:10">
      <c r="A10" s="21"/>
      <c r="B10" s="4943" t="s">
        <v>778</v>
      </c>
      <c r="C10" s="4944">
        <v>323</v>
      </c>
      <c r="D10" s="4944">
        <v>116</v>
      </c>
      <c r="E10" s="21"/>
      <c r="F10" s="21"/>
      <c r="G10" s="21"/>
      <c r="H10" s="21"/>
      <c r="I10" s="21"/>
      <c r="J10" s="21"/>
    </row>
    <row r="11" spans="1:10">
      <c r="A11" s="21"/>
      <c r="B11" s="4943" t="s">
        <v>772</v>
      </c>
      <c r="C11" s="4944">
        <v>2575</v>
      </c>
      <c r="D11" s="4944">
        <v>1319</v>
      </c>
      <c r="E11" s="21"/>
      <c r="F11" s="21"/>
      <c r="G11" s="21"/>
      <c r="H11" s="21"/>
      <c r="I11" s="21"/>
      <c r="J11" s="21"/>
    </row>
    <row r="12" spans="1:10" ht="15" thickBot="1">
      <c r="A12" s="21"/>
      <c r="B12" s="4943" t="s">
        <v>771</v>
      </c>
      <c r="C12" s="4944">
        <v>1760</v>
      </c>
      <c r="D12" s="4944">
        <v>849</v>
      </c>
      <c r="E12" s="21"/>
      <c r="F12" s="21"/>
      <c r="G12" s="21"/>
      <c r="H12" s="21"/>
      <c r="I12" s="21"/>
      <c r="J12" s="21"/>
    </row>
    <row r="13" spans="1:10">
      <c r="A13" s="21"/>
      <c r="B13" s="4943" t="s">
        <v>779</v>
      </c>
      <c r="C13" s="4944">
        <v>494</v>
      </c>
      <c r="D13" s="4944">
        <v>246</v>
      </c>
      <c r="E13" s="21"/>
      <c r="F13" s="2297" t="s">
        <v>1433</v>
      </c>
      <c r="G13" s="2298"/>
      <c r="H13" s="2298"/>
      <c r="I13" s="2298"/>
      <c r="J13" s="2299"/>
    </row>
    <row r="14" spans="1:10">
      <c r="A14" s="21"/>
      <c r="B14" s="4943" t="s">
        <v>773</v>
      </c>
      <c r="C14" s="4944">
        <v>1589</v>
      </c>
      <c r="D14" s="4944">
        <v>692</v>
      </c>
      <c r="E14" s="21"/>
      <c r="F14" s="2310"/>
      <c r="G14" s="5741" t="s">
        <v>864</v>
      </c>
      <c r="H14" s="5741"/>
      <c r="I14" s="5742" t="s">
        <v>865</v>
      </c>
      <c r="J14" s="5743"/>
    </row>
    <row r="15" spans="1:10">
      <c r="A15" s="21"/>
      <c r="B15" s="4943" t="s">
        <v>769</v>
      </c>
      <c r="C15" s="4944">
        <v>3740</v>
      </c>
      <c r="D15" s="4944">
        <v>1843</v>
      </c>
      <c r="E15" s="21"/>
      <c r="F15" s="2311"/>
      <c r="G15" s="4949"/>
      <c r="H15" s="4949"/>
      <c r="I15" s="2312"/>
      <c r="J15" s="2313"/>
    </row>
    <row r="16" spans="1:10">
      <c r="A16" s="21"/>
      <c r="B16" s="4943" t="s">
        <v>776</v>
      </c>
      <c r="C16" s="4944">
        <v>2005</v>
      </c>
      <c r="D16" s="4944">
        <v>970</v>
      </c>
      <c r="E16" s="21"/>
      <c r="F16" s="4945" t="s">
        <v>737</v>
      </c>
      <c r="G16" s="4946">
        <f>SUM(C6)</f>
        <v>2015</v>
      </c>
      <c r="H16" s="2303">
        <f>(C6)/C$19</f>
        <v>6.7281044442218441E-2</v>
      </c>
      <c r="I16" s="2304">
        <f>SUM(D6)</f>
        <v>942</v>
      </c>
      <c r="J16" s="2305">
        <f>(D6)/D$19</f>
        <v>6.6296009571398404E-2</v>
      </c>
    </row>
    <row r="17" spans="1:10">
      <c r="A17" s="21"/>
      <c r="B17" s="4943" t="s">
        <v>780</v>
      </c>
      <c r="C17" s="4944">
        <v>546</v>
      </c>
      <c r="D17" s="4944">
        <v>252</v>
      </c>
      <c r="E17" s="21"/>
      <c r="F17" s="4947"/>
      <c r="G17" s="20"/>
      <c r="H17" s="20"/>
      <c r="I17" s="2301"/>
      <c r="J17" s="2302"/>
    </row>
    <row r="18" spans="1:10" ht="15" thickBot="1">
      <c r="A18" s="21"/>
      <c r="B18" s="4943" t="s">
        <v>781</v>
      </c>
      <c r="C18" s="4944">
        <v>2724</v>
      </c>
      <c r="D18" s="4944">
        <v>1358</v>
      </c>
      <c r="E18" s="21"/>
      <c r="F18" s="4948" t="s">
        <v>647</v>
      </c>
      <c r="G18" s="2306">
        <f>SUM(C8)</f>
        <v>7665</v>
      </c>
      <c r="H18" s="2307">
        <f>(C8)/C$19</f>
        <v>0.25593508965240908</v>
      </c>
      <c r="I18" s="2308">
        <f>SUM(D8)</f>
        <v>3506</v>
      </c>
      <c r="J18" s="2309">
        <f>(D8)/D$19</f>
        <v>0.24674502076148919</v>
      </c>
    </row>
    <row r="19" spans="1:10">
      <c r="A19" s="21"/>
      <c r="B19" s="4950" t="s">
        <v>53</v>
      </c>
      <c r="C19" s="2167">
        <f>SUM(C5:C18)</f>
        <v>29949</v>
      </c>
      <c r="D19" s="2167">
        <f>SUM(D5:D18)</f>
        <v>14209</v>
      </c>
      <c r="E19" s="21"/>
      <c r="F19" s="21"/>
      <c r="G19" s="21"/>
      <c r="H19" s="21"/>
      <c r="I19" s="21"/>
      <c r="J19" s="21"/>
    </row>
    <row r="20" spans="1:10" ht="21.6">
      <c r="A20" s="21"/>
      <c r="B20" s="4923" t="s">
        <v>1969</v>
      </c>
      <c r="C20" s="4951"/>
      <c r="D20" s="4952"/>
      <c r="E20" s="21"/>
      <c r="F20" s="21"/>
      <c r="G20" s="21"/>
      <c r="H20" s="21"/>
      <c r="I20" s="21"/>
      <c r="J20" s="21"/>
    </row>
    <row r="21" spans="1:10">
      <c r="A21" s="21"/>
      <c r="B21" s="21"/>
      <c r="C21" s="21"/>
      <c r="D21" s="21"/>
      <c r="E21" s="21"/>
      <c r="F21" s="21"/>
      <c r="G21" s="21"/>
      <c r="H21" s="21"/>
      <c r="I21" s="21"/>
      <c r="J21" s="21"/>
    </row>
    <row r="22" spans="1:10">
      <c r="A22" s="21"/>
      <c r="B22" s="21"/>
      <c r="C22" s="21"/>
      <c r="D22" s="21"/>
      <c r="E22" s="21"/>
      <c r="F22" s="21"/>
      <c r="G22" s="21"/>
      <c r="H22" s="21"/>
      <c r="I22" s="21"/>
      <c r="J22" s="21"/>
    </row>
    <row r="23" spans="1:10">
      <c r="A23" s="21"/>
      <c r="B23" s="21"/>
      <c r="C23" s="21"/>
      <c r="D23" s="21"/>
      <c r="E23" s="21"/>
      <c r="F23" s="21"/>
      <c r="G23" s="21"/>
      <c r="H23" s="21"/>
      <c r="I23" s="21"/>
      <c r="J23" s="21"/>
    </row>
    <row r="24" spans="1:10">
      <c r="A24" s="4953"/>
      <c r="B24" s="4953"/>
      <c r="C24" s="4953"/>
      <c r="D24" s="4953"/>
      <c r="E24" s="4953"/>
      <c r="F24" s="4953"/>
      <c r="G24" s="4953"/>
      <c r="H24" s="4953"/>
      <c r="I24" s="4953"/>
      <c r="J24" s="4953"/>
    </row>
    <row r="25" spans="1:10" ht="15" thickBot="1">
      <c r="A25" s="4953"/>
      <c r="B25" s="4954">
        <v>2021</v>
      </c>
      <c r="C25" s="4953"/>
      <c r="D25" s="4953"/>
      <c r="E25" s="4953"/>
      <c r="F25" s="4953"/>
      <c r="G25" s="4953"/>
      <c r="H25" s="4953"/>
      <c r="I25" s="4953"/>
      <c r="J25" s="4953"/>
    </row>
    <row r="26" spans="1:10" ht="28.8">
      <c r="A26" s="4953"/>
      <c r="B26" s="2057" t="s">
        <v>1434</v>
      </c>
      <c r="C26" s="2058" t="s">
        <v>1463</v>
      </c>
      <c r="D26" s="2059" t="s">
        <v>1431</v>
      </c>
      <c r="E26" s="4900"/>
      <c r="F26" s="4955"/>
      <c r="G26" s="5732" t="s">
        <v>864</v>
      </c>
      <c r="H26" s="5732"/>
      <c r="I26" s="5733" t="s">
        <v>865</v>
      </c>
      <c r="J26" s="5734"/>
    </row>
    <row r="27" spans="1:10">
      <c r="A27" s="4953"/>
      <c r="B27" s="2060" t="s">
        <v>774</v>
      </c>
      <c r="C27" s="2166">
        <v>3737</v>
      </c>
      <c r="D27" s="2166">
        <v>1742</v>
      </c>
      <c r="E27" s="4953"/>
      <c r="F27" s="4956"/>
      <c r="G27" s="4957"/>
      <c r="H27" s="4957"/>
      <c r="I27" s="4958"/>
      <c r="J27" s="4959"/>
    </row>
    <row r="28" spans="1:10">
      <c r="A28" s="4953"/>
      <c r="B28" s="2060" t="s">
        <v>770</v>
      </c>
      <c r="C28" s="2166">
        <v>2267</v>
      </c>
      <c r="D28" s="2166">
        <v>1051</v>
      </c>
      <c r="E28" s="4953"/>
      <c r="F28" s="4956" t="s">
        <v>737</v>
      </c>
      <c r="G28" s="4960">
        <f>SUM(C27:C28)</f>
        <v>6004</v>
      </c>
      <c r="H28" s="4961">
        <f>G28/C41</f>
        <v>0.20938099389712292</v>
      </c>
      <c r="I28" s="4962">
        <f>SUM(D27:D28)</f>
        <v>2793</v>
      </c>
      <c r="J28" s="4963">
        <f>I28/D41</f>
        <v>0.1782272988322379</v>
      </c>
    </row>
    <row r="29" spans="1:10">
      <c r="A29" s="4953"/>
      <c r="B29" s="2060" t="s">
        <v>777</v>
      </c>
      <c r="C29" s="2166">
        <v>217</v>
      </c>
      <c r="D29" s="2166">
        <v>87</v>
      </c>
      <c r="E29" s="4953"/>
      <c r="F29" s="4956"/>
      <c r="G29" s="4957"/>
      <c r="H29" s="4957"/>
      <c r="I29" s="4958"/>
      <c r="J29" s="4959"/>
    </row>
    <row r="30" spans="1:10" ht="15" thickBot="1">
      <c r="A30" s="4953"/>
      <c r="B30" s="2060" t="s">
        <v>767</v>
      </c>
      <c r="C30" s="2166">
        <v>7922</v>
      </c>
      <c r="D30" s="2166">
        <v>3635</v>
      </c>
      <c r="E30" s="4953"/>
      <c r="F30" s="4964" t="s">
        <v>647</v>
      </c>
      <c r="G30" s="4965">
        <f>SUM(C30:C33)</f>
        <v>9996</v>
      </c>
      <c r="H30" s="4966">
        <f>G30/C41</f>
        <v>0.34859633827375763</v>
      </c>
      <c r="I30" s="4967">
        <f>SUM(D30:D33)</f>
        <v>6729</v>
      </c>
      <c r="J30" s="4968">
        <f>I30/D41</f>
        <v>0.42939187033373749</v>
      </c>
    </row>
    <row r="31" spans="1:10">
      <c r="A31" s="4953"/>
      <c r="B31" s="2060" t="s">
        <v>775</v>
      </c>
      <c r="C31" s="2166">
        <v>533</v>
      </c>
      <c r="D31" s="2166">
        <v>253</v>
      </c>
      <c r="E31" s="4953"/>
      <c r="F31" s="4953"/>
      <c r="G31" s="4953"/>
      <c r="H31" s="4953"/>
      <c r="I31" s="4953"/>
      <c r="J31" s="4953"/>
    </row>
    <row r="32" spans="1:10">
      <c r="A32" s="4953"/>
      <c r="B32" s="2060" t="s">
        <v>778</v>
      </c>
      <c r="C32" s="2166">
        <v>152</v>
      </c>
      <c r="D32" s="2166">
        <v>60</v>
      </c>
      <c r="E32" s="4953"/>
      <c r="F32" s="4953"/>
      <c r="G32" s="4953"/>
      <c r="H32" s="4953"/>
      <c r="I32" s="4953"/>
      <c r="J32" s="4953"/>
    </row>
    <row r="33" spans="1:10">
      <c r="A33" s="4953"/>
      <c r="B33" s="2060" t="s">
        <v>772</v>
      </c>
      <c r="C33" s="2166">
        <v>1389</v>
      </c>
      <c r="D33" s="2166">
        <v>2781</v>
      </c>
      <c r="E33" s="4953"/>
      <c r="F33" s="4953"/>
      <c r="G33" s="4953"/>
      <c r="H33" s="4953"/>
      <c r="I33" s="4953"/>
      <c r="J33" s="4953"/>
    </row>
    <row r="34" spans="1:10" ht="15" thickBot="1">
      <c r="A34" s="4953"/>
      <c r="B34" s="2060" t="s">
        <v>771</v>
      </c>
      <c r="C34" s="2166">
        <v>1784</v>
      </c>
      <c r="D34" s="2166">
        <v>863</v>
      </c>
      <c r="E34" s="4953"/>
      <c r="F34" s="4953"/>
      <c r="G34" s="4953"/>
      <c r="H34" s="4953"/>
      <c r="I34" s="4953"/>
      <c r="J34" s="4953"/>
    </row>
    <row r="35" spans="1:10">
      <c r="A35" s="4953"/>
      <c r="B35" s="2060" t="s">
        <v>779</v>
      </c>
      <c r="C35" s="2166">
        <v>359</v>
      </c>
      <c r="D35" s="2166">
        <v>184</v>
      </c>
      <c r="E35" s="4953"/>
      <c r="F35" s="2334" t="s">
        <v>1433</v>
      </c>
      <c r="G35" s="4969"/>
      <c r="H35" s="4969"/>
      <c r="I35" s="4969"/>
      <c r="J35" s="4970"/>
    </row>
    <row r="36" spans="1:10">
      <c r="A36" s="4953"/>
      <c r="B36" s="2060" t="s">
        <v>773</v>
      </c>
      <c r="C36" s="2166">
        <v>1572</v>
      </c>
      <c r="D36" s="2166">
        <v>698</v>
      </c>
      <c r="E36" s="4953"/>
      <c r="F36" s="4971"/>
      <c r="G36" s="5735" t="s">
        <v>864</v>
      </c>
      <c r="H36" s="5735"/>
      <c r="I36" s="5736" t="s">
        <v>865</v>
      </c>
      <c r="J36" s="5737"/>
    </row>
    <row r="37" spans="1:10">
      <c r="A37" s="4953"/>
      <c r="B37" s="2060" t="s">
        <v>769</v>
      </c>
      <c r="C37" s="2166">
        <v>3603</v>
      </c>
      <c r="D37" s="2166">
        <v>1811</v>
      </c>
      <c r="E37" s="4953"/>
      <c r="F37" s="4956"/>
      <c r="G37" s="4957"/>
      <c r="H37" s="4957"/>
      <c r="I37" s="4958"/>
      <c r="J37" s="4959"/>
    </row>
    <row r="38" spans="1:10">
      <c r="A38" s="4953"/>
      <c r="B38" s="2060" t="s">
        <v>776</v>
      </c>
      <c r="C38" s="2166">
        <v>1889</v>
      </c>
      <c r="D38" s="2166">
        <v>925</v>
      </c>
      <c r="E38" s="4953"/>
      <c r="F38" s="4956" t="s">
        <v>737</v>
      </c>
      <c r="G38" s="4960">
        <f>SUM(C28)</f>
        <v>2267</v>
      </c>
      <c r="H38" s="4972">
        <f>(C28)/C$41</f>
        <v>7.905841325196164E-2</v>
      </c>
      <c r="I38" s="4962">
        <f>SUM(D28)</f>
        <v>1051</v>
      </c>
      <c r="J38" s="4963">
        <f>(D28)/D$41</f>
        <v>6.7066556058962418E-2</v>
      </c>
    </row>
    <row r="39" spans="1:10">
      <c r="A39" s="4953"/>
      <c r="B39" s="2060" t="s">
        <v>780</v>
      </c>
      <c r="C39" s="2166">
        <v>542</v>
      </c>
      <c r="D39" s="2166">
        <v>237</v>
      </c>
      <c r="E39" s="4953"/>
      <c r="F39" s="4956"/>
      <c r="G39" s="4957"/>
      <c r="H39" s="4973"/>
      <c r="I39" s="4958"/>
      <c r="J39" s="4959"/>
    </row>
    <row r="40" spans="1:10" ht="15" thickBot="1">
      <c r="A40" s="4953"/>
      <c r="B40" s="2060" t="s">
        <v>781</v>
      </c>
      <c r="C40" s="2166">
        <v>2709</v>
      </c>
      <c r="D40" s="2166">
        <v>1344</v>
      </c>
      <c r="E40" s="4953"/>
      <c r="F40" s="4964" t="s">
        <v>647</v>
      </c>
      <c r="G40" s="4965">
        <f>SUM(C30)</f>
        <v>7922</v>
      </c>
      <c r="H40" s="4966">
        <f>(C30)/C$41</f>
        <v>0.27626852659110723</v>
      </c>
      <c r="I40" s="4967">
        <f>SUM(D30)</f>
        <v>3635</v>
      </c>
      <c r="J40" s="4968">
        <f>(D30)/D$41</f>
        <v>0.23195711824388998</v>
      </c>
    </row>
    <row r="41" spans="1:10">
      <c r="A41" s="4953"/>
      <c r="B41" s="2063" t="s">
        <v>53</v>
      </c>
      <c r="C41" s="2167">
        <f>SUM(C27:C40)</f>
        <v>28675</v>
      </c>
      <c r="D41" s="2167">
        <f>SUM(D27:D40)</f>
        <v>15671</v>
      </c>
      <c r="E41" s="4953"/>
      <c r="F41" s="4953"/>
      <c r="G41" s="4953"/>
      <c r="H41" s="4953"/>
      <c r="I41" s="4953"/>
      <c r="J41" s="4953"/>
    </row>
    <row r="42" spans="1:10">
      <c r="A42" s="4953"/>
      <c r="B42" s="4933" t="s">
        <v>1427</v>
      </c>
      <c r="C42" s="2061"/>
      <c r="D42" s="2062"/>
      <c r="E42" s="4953"/>
      <c r="F42" s="4953"/>
      <c r="G42" s="4953"/>
      <c r="H42" s="4953"/>
      <c r="I42" s="4953"/>
      <c r="J42" s="4953"/>
    </row>
    <row r="43" spans="1:10">
      <c r="A43" s="4953"/>
      <c r="B43" s="4953"/>
      <c r="C43" s="4953"/>
      <c r="D43" s="4953"/>
      <c r="E43" s="4953"/>
      <c r="F43" s="4953"/>
      <c r="G43" s="4953"/>
      <c r="H43" s="4953"/>
      <c r="I43" s="4953"/>
      <c r="J43" s="4953"/>
    </row>
  </sheetData>
  <mergeCells count="8">
    <mergeCell ref="G26:H26"/>
    <mergeCell ref="I26:J26"/>
    <mergeCell ref="G36:H36"/>
    <mergeCell ref="I36:J36"/>
    <mergeCell ref="G4:H4"/>
    <mergeCell ref="I4:J4"/>
    <mergeCell ref="G14:H14"/>
    <mergeCell ref="I14:J14"/>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LR85"/>
  <sheetViews>
    <sheetView showGridLines="0" topLeftCell="IY1" zoomScale="70" zoomScaleNormal="70" zoomScaleSheetLayoutView="75" workbookViewId="0">
      <selection activeCell="KM7" sqref="KM7"/>
    </sheetView>
  </sheetViews>
  <sheetFormatPr baseColWidth="10" defaultColWidth="11.44140625" defaultRowHeight="14.4"/>
  <cols>
    <col min="1" max="1" width="2.109375" customWidth="1"/>
    <col min="2" max="2" width="1.6640625" customWidth="1"/>
    <col min="3" max="3" width="39" customWidth="1"/>
    <col min="4" max="39" width="10.6640625" hidden="1" customWidth="1"/>
    <col min="40" max="40" width="11.44140625" hidden="1" customWidth="1"/>
    <col min="41" max="147" width="10.6640625" hidden="1" customWidth="1"/>
    <col min="148" max="183" width="11" hidden="1" customWidth="1"/>
    <col min="184" max="195" width="11" customWidth="1"/>
    <col min="196" max="256" width="11" hidden="1" customWidth="1"/>
    <col min="257" max="260" width="11" customWidth="1"/>
    <col min="261" max="261" width="7.6640625" customWidth="1"/>
    <col min="262" max="268" width="11.33203125" hidden="1" customWidth="1"/>
    <col min="269" max="270" width="13.77734375" hidden="1" customWidth="1"/>
    <col min="271" max="272" width="9.44140625" hidden="1" customWidth="1"/>
    <col min="273" max="273" width="9.44140625" bestFit="1" customWidth="1"/>
    <col min="274" max="274" width="10.5546875" bestFit="1" customWidth="1"/>
    <col min="275" max="275" width="9.44140625" bestFit="1" customWidth="1"/>
    <col min="276" max="277" width="14.88671875" customWidth="1"/>
    <col min="278" max="278" width="3" customWidth="1"/>
    <col min="279" max="279" width="12.21875" customWidth="1"/>
    <col min="280" max="280" width="12.77734375" customWidth="1"/>
    <col min="281" max="281" width="3.33203125" customWidth="1"/>
    <col min="282" max="282" width="16.33203125" hidden="1" customWidth="1"/>
    <col min="283" max="287" width="13" hidden="1" customWidth="1"/>
    <col min="288" max="288" width="13" customWidth="1"/>
    <col min="289" max="289" width="13" bestFit="1" customWidth="1"/>
    <col min="290" max="290" width="11.44140625" customWidth="1"/>
    <col min="291" max="292" width="12.88671875" hidden="1" customWidth="1"/>
    <col min="293" max="294" width="9.88671875" hidden="1" customWidth="1"/>
    <col min="295" max="295" width="12.21875" hidden="1" customWidth="1"/>
    <col min="296" max="296" width="11.109375" hidden="1" customWidth="1"/>
    <col min="297" max="297" width="12.21875" hidden="1" customWidth="1"/>
    <col min="298" max="299" width="12.88671875" customWidth="1"/>
  </cols>
  <sheetData>
    <row r="1" spans="1:330" ht="9" customHeight="1" thickBot="1">
      <c r="A1" s="2566"/>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6"/>
      <c r="BF1" s="2566"/>
      <c r="BG1" s="2566"/>
      <c r="BH1" s="2566"/>
      <c r="BI1" s="2566"/>
      <c r="BJ1" s="2566"/>
      <c r="BK1" s="2566"/>
      <c r="BL1" s="2566"/>
      <c r="BM1" s="2566"/>
      <c r="BN1" s="2566"/>
      <c r="BO1" s="2566"/>
      <c r="BP1" s="2566"/>
      <c r="BQ1" s="2566"/>
      <c r="BR1" s="2566"/>
      <c r="BS1" s="2566"/>
      <c r="BT1" s="2566"/>
      <c r="BU1" s="2566"/>
      <c r="BV1" s="2566"/>
      <c r="BW1" s="2566"/>
      <c r="BX1" s="2566"/>
      <c r="BY1" s="2566"/>
      <c r="BZ1" s="2566"/>
      <c r="CA1" s="2566"/>
      <c r="CB1" s="2566"/>
      <c r="CC1" s="2566"/>
      <c r="CD1" s="2566"/>
      <c r="CE1" s="2566"/>
      <c r="CF1" s="2566"/>
      <c r="CG1" s="2566"/>
      <c r="CH1" s="2566"/>
      <c r="CI1" s="2566"/>
      <c r="CJ1" s="2566"/>
      <c r="CK1" s="2566"/>
      <c r="CL1" s="2566"/>
      <c r="CM1" s="2566"/>
      <c r="CN1" s="2566"/>
      <c r="CO1" s="2566"/>
      <c r="CP1" s="2566"/>
      <c r="CQ1" s="2566"/>
      <c r="CR1" s="2566"/>
      <c r="CS1" s="2566"/>
      <c r="CT1" s="2566"/>
      <c r="CU1" s="2566"/>
      <c r="CV1" s="2566"/>
      <c r="CW1" s="2566"/>
      <c r="CX1" s="2566"/>
      <c r="CY1" s="2566"/>
      <c r="CZ1" s="2566"/>
      <c r="DA1" s="2566"/>
      <c r="DB1" s="2566"/>
      <c r="DC1" s="2566"/>
      <c r="DD1" s="2566"/>
      <c r="DE1" s="2566"/>
      <c r="DF1" s="2566"/>
      <c r="DG1" s="2566"/>
      <c r="DH1" s="2566"/>
      <c r="DI1" s="2566"/>
      <c r="DJ1" s="2566"/>
      <c r="DK1" s="2566"/>
      <c r="DL1" s="2566"/>
      <c r="DM1" s="2566"/>
      <c r="DN1" s="2566"/>
      <c r="DO1" s="2566"/>
      <c r="DP1" s="2566"/>
      <c r="DQ1" s="2566"/>
      <c r="DR1" s="2566"/>
      <c r="DS1" s="2566"/>
      <c r="DT1" s="2566"/>
      <c r="DU1" s="2566"/>
      <c r="DV1" s="2566"/>
      <c r="DW1" s="2566"/>
      <c r="DX1" s="2566"/>
      <c r="DY1" s="2566"/>
      <c r="DZ1" s="2566"/>
      <c r="EA1" s="2566"/>
      <c r="EB1" s="2566"/>
      <c r="EC1" s="2566"/>
      <c r="ED1" s="2566"/>
      <c r="EE1" s="2566"/>
      <c r="EF1" s="2566"/>
      <c r="EG1" s="2566"/>
      <c r="EH1" s="2566"/>
      <c r="EI1" s="2566"/>
      <c r="EJ1" s="2566"/>
      <c r="EK1" s="2566"/>
      <c r="EL1" s="2566"/>
      <c r="EM1" s="2566"/>
      <c r="EN1" s="2566"/>
      <c r="EO1" s="2566"/>
      <c r="EP1" s="2566"/>
      <c r="EQ1" s="2566"/>
      <c r="ER1" s="2566"/>
      <c r="ES1" s="2566"/>
      <c r="ET1" s="2566"/>
      <c r="EU1" s="2566"/>
      <c r="EV1" s="2566"/>
      <c r="EW1" s="2566"/>
      <c r="EX1" s="2566"/>
      <c r="EY1" s="2566"/>
      <c r="EZ1" s="2566"/>
      <c r="FA1" s="2566"/>
      <c r="FB1" s="2566"/>
      <c r="FC1" s="2566"/>
      <c r="FD1" s="2566"/>
      <c r="FE1" s="2566"/>
      <c r="FF1" s="2566"/>
      <c r="FG1" s="2566"/>
      <c r="FH1" s="2566"/>
      <c r="FI1" s="2566"/>
      <c r="FJ1" s="2566"/>
      <c r="FK1" s="2566"/>
      <c r="FL1" s="2566"/>
      <c r="FM1" s="2566"/>
      <c r="FN1" s="2566"/>
      <c r="FO1" s="2566"/>
      <c r="FP1" s="2566"/>
      <c r="FQ1" s="2566"/>
      <c r="FR1" s="2566"/>
      <c r="FS1" s="2566"/>
      <c r="FT1" s="2566"/>
      <c r="FU1" s="2566"/>
      <c r="FV1" s="2566"/>
      <c r="FW1" s="2566"/>
      <c r="FX1" s="2566"/>
      <c r="FY1" s="2566"/>
      <c r="FZ1" s="2566"/>
      <c r="GA1" s="2566"/>
      <c r="GB1" s="2566"/>
      <c r="GC1" s="2566"/>
      <c r="GD1" s="2566"/>
      <c r="GE1" s="2566"/>
      <c r="GF1" s="2566"/>
      <c r="GG1" s="2566"/>
      <c r="GH1" s="2566"/>
      <c r="GI1" s="2566"/>
      <c r="GJ1" s="2566"/>
      <c r="GK1" s="2566"/>
      <c r="GL1" s="2566"/>
      <c r="GM1" s="2566"/>
      <c r="GN1" s="2566"/>
      <c r="GO1" s="2566"/>
      <c r="GP1" s="2566"/>
      <c r="GQ1" s="2566"/>
      <c r="GR1" s="2566"/>
      <c r="GS1" s="2566"/>
      <c r="GT1" s="2566"/>
      <c r="GU1" s="2566"/>
      <c r="GV1" s="2566"/>
      <c r="GW1" s="2566"/>
      <c r="GX1" s="2566"/>
      <c r="GY1" s="2566"/>
      <c r="GZ1" s="2566"/>
      <c r="HA1" s="2566"/>
      <c r="HB1" s="2566"/>
      <c r="HC1" s="2566"/>
      <c r="HD1" s="2566"/>
      <c r="HE1" s="2566"/>
      <c r="HF1" s="2566"/>
      <c r="HG1" s="2566"/>
      <c r="HH1" s="2566"/>
      <c r="HI1" s="2566"/>
      <c r="HJ1" s="2566"/>
      <c r="HK1" s="2566"/>
      <c r="HL1" s="2566"/>
      <c r="HM1" s="2566"/>
      <c r="HN1" s="2566"/>
      <c r="HO1" s="2566"/>
      <c r="HP1" s="2566"/>
      <c r="HQ1" s="2566"/>
      <c r="HR1" s="2566"/>
      <c r="HS1" s="2566"/>
      <c r="HT1" s="2566"/>
      <c r="HU1" s="2566"/>
      <c r="HV1" s="2566"/>
      <c r="HW1" s="2566"/>
      <c r="HX1" s="2566"/>
      <c r="HY1" s="2566"/>
      <c r="HZ1" s="2566"/>
      <c r="IA1" s="2566"/>
      <c r="IB1" s="2566"/>
      <c r="IC1" s="2566"/>
      <c r="ID1" s="2566"/>
      <c r="IE1" s="2566"/>
      <c r="IF1" s="2566"/>
      <c r="IG1" s="2566"/>
      <c r="IH1" s="2566"/>
      <c r="II1" s="2566"/>
      <c r="IJ1" s="2566"/>
      <c r="IK1" s="2566"/>
      <c r="IL1" s="2566"/>
      <c r="IM1" s="2566"/>
      <c r="IN1" s="2566"/>
      <c r="IO1" s="2566"/>
      <c r="IP1" s="2566"/>
      <c r="IQ1" s="2566"/>
      <c r="IR1" s="2566"/>
      <c r="IS1" s="2566"/>
      <c r="IT1" s="2566"/>
      <c r="IU1" s="2566"/>
      <c r="IV1" s="2566"/>
      <c r="IW1" s="2566"/>
      <c r="IX1" s="2566"/>
      <c r="IY1" s="2566"/>
      <c r="IZ1" s="2566"/>
      <c r="JA1" s="2566"/>
      <c r="JB1" s="2566"/>
      <c r="JC1" s="2566"/>
      <c r="JD1" s="2566"/>
      <c r="JE1" s="2566"/>
      <c r="JF1" s="2566"/>
      <c r="JG1" s="2566"/>
      <c r="JH1" s="2566"/>
      <c r="JI1" s="2566"/>
      <c r="JJ1" s="2566"/>
      <c r="JK1" s="2566"/>
      <c r="JL1" s="2566"/>
      <c r="JM1" s="2566"/>
      <c r="JN1" s="2566"/>
      <c r="JO1" s="2566"/>
      <c r="JP1" s="2566"/>
      <c r="JQ1" s="2566"/>
      <c r="JS1" s="2566"/>
      <c r="JT1" s="2566"/>
      <c r="JU1" s="2566"/>
      <c r="JV1" s="2566"/>
      <c r="JW1" s="2566"/>
      <c r="JX1" s="2566"/>
      <c r="JY1" s="2566"/>
      <c r="JZ1" s="2566"/>
      <c r="KA1" s="2566"/>
      <c r="KB1" s="2566"/>
      <c r="KC1" s="2566"/>
      <c r="KD1" s="2566"/>
      <c r="KE1" s="2566"/>
      <c r="KF1" s="2566"/>
      <c r="KG1" s="2566"/>
      <c r="KH1" s="2566"/>
      <c r="KI1" s="2566"/>
      <c r="KJ1" s="2566"/>
      <c r="KK1" s="2566"/>
      <c r="KL1" s="2566"/>
      <c r="KM1" s="2566"/>
      <c r="KN1" s="2566"/>
      <c r="KO1" s="2566"/>
      <c r="KP1" s="2566"/>
      <c r="KQ1" s="2566"/>
      <c r="KR1" s="2566"/>
      <c r="KS1" s="2566"/>
      <c r="KT1" s="2566"/>
      <c r="KU1" s="2566"/>
      <c r="KV1" s="2566"/>
      <c r="KW1" s="2566"/>
      <c r="KX1" s="2566"/>
      <c r="KY1" s="2566"/>
      <c r="KZ1" s="2566"/>
      <c r="LA1" s="2566"/>
      <c r="LB1" s="2566"/>
      <c r="LC1" s="2566"/>
      <c r="LD1" s="2566"/>
      <c r="LE1" s="2566"/>
      <c r="LF1" s="2566"/>
      <c r="LG1" s="2566"/>
      <c r="LH1" s="2566"/>
      <c r="LI1" s="2566"/>
      <c r="LJ1" s="2566"/>
      <c r="LK1" s="2525"/>
      <c r="LL1" s="2525"/>
      <c r="LM1" s="2525"/>
      <c r="LN1" s="2525"/>
      <c r="LO1" s="2525"/>
      <c r="LP1" s="2525"/>
      <c r="LQ1" s="2525"/>
      <c r="LR1" s="2525"/>
    </row>
    <row r="2" spans="1:330" ht="41.4" customHeight="1" thickBot="1">
      <c r="A2" s="2566"/>
      <c r="B2" s="3294"/>
      <c r="C2" s="3611" t="s">
        <v>1488</v>
      </c>
      <c r="D2" s="5410">
        <v>2007</v>
      </c>
      <c r="E2" s="5410"/>
      <c r="F2" s="5410"/>
      <c r="G2" s="5410"/>
      <c r="H2" s="5410"/>
      <c r="I2" s="5410"/>
      <c r="J2" s="5410"/>
      <c r="K2" s="5410"/>
      <c r="L2" s="5410"/>
      <c r="M2" s="5410"/>
      <c r="N2" s="5410"/>
      <c r="O2" s="5411"/>
      <c r="P2" s="5412">
        <v>2008</v>
      </c>
      <c r="Q2" s="5413"/>
      <c r="R2" s="5413"/>
      <c r="S2" s="5413"/>
      <c r="T2" s="5413"/>
      <c r="U2" s="5413"/>
      <c r="V2" s="5413"/>
      <c r="W2" s="5413"/>
      <c r="X2" s="5413"/>
      <c r="Y2" s="5413"/>
      <c r="Z2" s="5413"/>
      <c r="AA2" s="5414"/>
      <c r="AB2" s="5415">
        <v>2009</v>
      </c>
      <c r="AC2" s="5416"/>
      <c r="AD2" s="5416"/>
      <c r="AE2" s="5416"/>
      <c r="AF2" s="5416"/>
      <c r="AG2" s="5416"/>
      <c r="AH2" s="5416"/>
      <c r="AI2" s="5416"/>
      <c r="AJ2" s="5416"/>
      <c r="AK2" s="5416"/>
      <c r="AL2" s="5416"/>
      <c r="AM2" s="5417"/>
      <c r="AN2" s="5429">
        <v>2010</v>
      </c>
      <c r="AO2" s="5430"/>
      <c r="AP2" s="5430"/>
      <c r="AQ2" s="5430"/>
      <c r="AR2" s="5430"/>
      <c r="AS2" s="5430"/>
      <c r="AT2" s="5430"/>
      <c r="AU2" s="5430"/>
      <c r="AV2" s="5430"/>
      <c r="AW2" s="5430"/>
      <c r="AX2" s="5430"/>
      <c r="AY2" s="5431"/>
      <c r="AZ2" s="5432">
        <v>2011</v>
      </c>
      <c r="BA2" s="5433"/>
      <c r="BB2" s="5433"/>
      <c r="BC2" s="5433"/>
      <c r="BD2" s="5433"/>
      <c r="BE2" s="5433"/>
      <c r="BF2" s="5433"/>
      <c r="BG2" s="5433"/>
      <c r="BH2" s="5433"/>
      <c r="BI2" s="5433"/>
      <c r="BJ2" s="5433"/>
      <c r="BK2" s="5434"/>
      <c r="BL2" s="5435">
        <v>2012</v>
      </c>
      <c r="BM2" s="5436"/>
      <c r="BN2" s="5436"/>
      <c r="BO2" s="5436"/>
      <c r="BP2" s="5436"/>
      <c r="BQ2" s="5436"/>
      <c r="BR2" s="5436"/>
      <c r="BS2" s="5436"/>
      <c r="BT2" s="5436"/>
      <c r="BU2" s="5436"/>
      <c r="BV2" s="5436"/>
      <c r="BW2" s="5437"/>
      <c r="BX2" s="5438">
        <v>2013</v>
      </c>
      <c r="BY2" s="5433"/>
      <c r="BZ2" s="5433"/>
      <c r="CA2" s="5433"/>
      <c r="CB2" s="5433"/>
      <c r="CC2" s="5433"/>
      <c r="CD2" s="5433"/>
      <c r="CE2" s="5433"/>
      <c r="CF2" s="5433"/>
      <c r="CG2" s="5433"/>
      <c r="CH2" s="5433"/>
      <c r="CI2" s="5439"/>
      <c r="CJ2" s="5440">
        <v>2014</v>
      </c>
      <c r="CK2" s="5441"/>
      <c r="CL2" s="5441"/>
      <c r="CM2" s="5441"/>
      <c r="CN2" s="5441"/>
      <c r="CO2" s="5441"/>
      <c r="CP2" s="5441"/>
      <c r="CQ2" s="5441"/>
      <c r="CR2" s="5441"/>
      <c r="CS2" s="5441"/>
      <c r="CT2" s="5441"/>
      <c r="CU2" s="5442"/>
      <c r="CV2" s="5423">
        <v>2015</v>
      </c>
      <c r="CW2" s="5424"/>
      <c r="CX2" s="5424"/>
      <c r="CY2" s="5424"/>
      <c r="CZ2" s="5424"/>
      <c r="DA2" s="5424"/>
      <c r="DB2" s="5424"/>
      <c r="DC2" s="5424"/>
      <c r="DD2" s="5424"/>
      <c r="DE2" s="5424"/>
      <c r="DF2" s="5424"/>
      <c r="DG2" s="5425"/>
      <c r="DH2" s="5426">
        <v>2016</v>
      </c>
      <c r="DI2" s="5427"/>
      <c r="DJ2" s="5427"/>
      <c r="DK2" s="5427"/>
      <c r="DL2" s="5427"/>
      <c r="DM2" s="5427"/>
      <c r="DN2" s="5427"/>
      <c r="DO2" s="5427"/>
      <c r="DP2" s="5427"/>
      <c r="DQ2" s="5427"/>
      <c r="DR2" s="5427"/>
      <c r="DS2" s="5428"/>
      <c r="DT2" s="5418">
        <v>2017</v>
      </c>
      <c r="DU2" s="5419"/>
      <c r="DV2" s="5419"/>
      <c r="DW2" s="5419"/>
      <c r="DX2" s="5419"/>
      <c r="DY2" s="5419"/>
      <c r="DZ2" s="5419"/>
      <c r="EA2" s="5419"/>
      <c r="EB2" s="5419"/>
      <c r="EC2" s="5419"/>
      <c r="ED2" s="5419"/>
      <c r="EE2" s="5420"/>
      <c r="EF2" s="5421">
        <v>2018</v>
      </c>
      <c r="EG2" s="5422"/>
      <c r="EH2" s="5422"/>
      <c r="EI2" s="5422"/>
      <c r="EJ2" s="5422"/>
      <c r="EK2" s="5422"/>
      <c r="EL2" s="5422"/>
      <c r="EM2" s="5422"/>
      <c r="EN2" s="5422"/>
      <c r="EO2" s="5422"/>
      <c r="EP2" s="5422"/>
      <c r="EQ2" s="5422"/>
      <c r="ER2" s="3295">
        <v>2019</v>
      </c>
      <c r="ES2" s="3296"/>
      <c r="ET2" s="3296"/>
      <c r="EU2" s="3296"/>
      <c r="EV2" s="3296"/>
      <c r="EW2" s="3296"/>
      <c r="EX2" s="3296"/>
      <c r="EY2" s="3296"/>
      <c r="EZ2" s="3296"/>
      <c r="FA2" s="3296"/>
      <c r="FB2" s="3296"/>
      <c r="FC2" s="3296"/>
      <c r="FD2" s="2719">
        <v>2020</v>
      </c>
      <c r="FE2" s="2720"/>
      <c r="FF2" s="2720"/>
      <c r="FG2" s="2720"/>
      <c r="FH2" s="2720"/>
      <c r="FI2" s="2720"/>
      <c r="FJ2" s="2720"/>
      <c r="FK2" s="2720"/>
      <c r="FL2" s="2720"/>
      <c r="FM2" s="2720"/>
      <c r="FN2" s="2720"/>
      <c r="FO2" s="2720"/>
      <c r="FP2" s="3032">
        <v>2021</v>
      </c>
      <c r="FQ2" s="3033"/>
      <c r="FR2" s="3033"/>
      <c r="FS2" s="3033"/>
      <c r="FT2" s="3033"/>
      <c r="FU2" s="3033"/>
      <c r="FV2" s="3033"/>
      <c r="FW2" s="3033"/>
      <c r="FX2" s="3033"/>
      <c r="FY2" s="3033"/>
      <c r="FZ2" s="3033"/>
      <c r="GA2" s="3033"/>
      <c r="GB2" s="3949">
        <v>2022</v>
      </c>
      <c r="GC2" s="3950"/>
      <c r="GD2" s="3950"/>
      <c r="GE2" s="3950"/>
      <c r="GF2" s="3950"/>
      <c r="GG2" s="3950"/>
      <c r="GH2" s="3950"/>
      <c r="GI2" s="3950"/>
      <c r="GJ2" s="3950"/>
      <c r="GK2" s="3950"/>
      <c r="GL2" s="3950"/>
      <c r="GM2" s="3959"/>
      <c r="GN2" s="1239"/>
      <c r="GO2" s="5393">
        <v>2007</v>
      </c>
      <c r="GP2" s="5394"/>
      <c r="GQ2" s="5394"/>
      <c r="GR2" s="5395"/>
      <c r="GS2" s="5396">
        <v>2008</v>
      </c>
      <c r="GT2" s="5397"/>
      <c r="GU2" s="5397"/>
      <c r="GV2" s="5398"/>
      <c r="GW2" s="5399">
        <v>2009</v>
      </c>
      <c r="GX2" s="5400"/>
      <c r="GY2" s="5400"/>
      <c r="GZ2" s="5401"/>
      <c r="HA2" s="5376">
        <v>2010</v>
      </c>
      <c r="HB2" s="5377"/>
      <c r="HC2" s="5377"/>
      <c r="HD2" s="5378"/>
      <c r="HE2" s="5381">
        <v>2011</v>
      </c>
      <c r="HF2" s="5382"/>
      <c r="HG2" s="5382"/>
      <c r="HH2" s="5383"/>
      <c r="HI2" s="5384">
        <v>2012</v>
      </c>
      <c r="HJ2" s="5375"/>
      <c r="HK2" s="5375"/>
      <c r="HL2" s="5375"/>
      <c r="HM2" s="5385">
        <v>2013</v>
      </c>
      <c r="HN2" s="5385"/>
      <c r="HO2" s="5385"/>
      <c r="HP2" s="5385"/>
      <c r="HQ2" s="5386">
        <v>2014</v>
      </c>
      <c r="HR2" s="5386"/>
      <c r="HS2" s="5386"/>
      <c r="HT2" s="5386"/>
      <c r="HU2" s="5387">
        <v>2015</v>
      </c>
      <c r="HV2" s="5387"/>
      <c r="HW2" s="5387"/>
      <c r="HX2" s="5387"/>
      <c r="HY2" s="5402">
        <v>2016</v>
      </c>
      <c r="HZ2" s="5402"/>
      <c r="IA2" s="5402"/>
      <c r="IB2" s="5402"/>
      <c r="IC2" s="5375">
        <v>2017</v>
      </c>
      <c r="ID2" s="5375"/>
      <c r="IE2" s="5375"/>
      <c r="IF2" s="5375"/>
      <c r="IG2" s="5391">
        <v>2018</v>
      </c>
      <c r="IH2" s="5392"/>
      <c r="II2" s="5392"/>
      <c r="IJ2" s="5392"/>
      <c r="IK2" s="5403">
        <v>2019</v>
      </c>
      <c r="IL2" s="5404"/>
      <c r="IM2" s="5404"/>
      <c r="IN2" s="5404"/>
      <c r="IO2" s="2719">
        <v>2020</v>
      </c>
      <c r="IP2" s="2720"/>
      <c r="IQ2" s="2720"/>
      <c r="IR2" s="2722"/>
      <c r="IS2" s="3032">
        <v>2021</v>
      </c>
      <c r="IT2" s="3033"/>
      <c r="IU2" s="3033"/>
      <c r="IV2" s="3033"/>
      <c r="IW2" s="3949">
        <v>2022</v>
      </c>
      <c r="IX2" s="3950"/>
      <c r="IY2" s="3950"/>
      <c r="IZ2" s="3959"/>
      <c r="JA2" s="3955"/>
      <c r="JB2" s="3297">
        <v>2007</v>
      </c>
      <c r="JC2" s="3298">
        <v>2008</v>
      </c>
      <c r="JD2" s="3298">
        <v>2009</v>
      </c>
      <c r="JE2" s="3298">
        <v>2010</v>
      </c>
      <c r="JF2" s="3298">
        <v>2011</v>
      </c>
      <c r="JG2" s="3298">
        <v>2012</v>
      </c>
      <c r="JH2" s="3298">
        <v>2013</v>
      </c>
      <c r="JI2" s="3298">
        <v>2014</v>
      </c>
      <c r="JJ2" s="3298">
        <v>2015</v>
      </c>
      <c r="JK2" s="3298">
        <v>2016</v>
      </c>
      <c r="JL2" s="3298">
        <v>2017</v>
      </c>
      <c r="JM2" s="3299">
        <v>2018</v>
      </c>
      <c r="JN2" s="3301">
        <v>2019</v>
      </c>
      <c r="JO2" s="3301">
        <v>2020</v>
      </c>
      <c r="JP2" s="3301">
        <v>2021</v>
      </c>
      <c r="JQ2" s="3975" t="s">
        <v>1588</v>
      </c>
      <c r="JS2" s="4664">
        <v>2021</v>
      </c>
      <c r="JT2" s="4668">
        <v>2022</v>
      </c>
      <c r="JU2" s="2525"/>
      <c r="JV2" s="5388" t="s">
        <v>1481</v>
      </c>
      <c r="JW2" s="5380" t="s">
        <v>820</v>
      </c>
      <c r="JX2" s="5379" t="s">
        <v>588</v>
      </c>
      <c r="JY2" s="5379" t="s">
        <v>873</v>
      </c>
      <c r="JZ2" s="5379" t="s">
        <v>1473</v>
      </c>
      <c r="KA2" s="5379" t="s">
        <v>1475</v>
      </c>
      <c r="KB2" s="5405" t="s">
        <v>1914</v>
      </c>
      <c r="KC2" s="5407" t="s">
        <v>1643</v>
      </c>
      <c r="KD2" s="709"/>
      <c r="KE2" s="5374" t="s">
        <v>599</v>
      </c>
      <c r="KF2" s="5373" t="s">
        <v>867</v>
      </c>
      <c r="KG2" s="5373" t="s">
        <v>871</v>
      </c>
      <c r="KH2" s="5373" t="s">
        <v>872</v>
      </c>
      <c r="KI2" s="5373" t="s">
        <v>1476</v>
      </c>
      <c r="KJ2" s="5374" t="s">
        <v>1483</v>
      </c>
      <c r="KK2" s="5373" t="s">
        <v>1477</v>
      </c>
      <c r="KL2" s="5407" t="s">
        <v>1915</v>
      </c>
      <c r="KM2" s="5407" t="s">
        <v>1913</v>
      </c>
      <c r="KN2" s="3294"/>
      <c r="KO2" s="3294"/>
      <c r="KP2" s="3294"/>
      <c r="KQ2" s="3294"/>
      <c r="KR2" s="3294"/>
      <c r="KS2" s="3294"/>
      <c r="KT2" s="3294"/>
      <c r="KU2" s="3294"/>
      <c r="KV2" s="3294"/>
      <c r="KW2" s="3294"/>
      <c r="KX2" s="3294"/>
      <c r="KY2" s="3294"/>
      <c r="KZ2" s="3294"/>
      <c r="LA2" s="3294"/>
      <c r="LB2" s="3294"/>
      <c r="LC2" s="3294"/>
      <c r="LD2" s="3294"/>
      <c r="LE2" s="3294"/>
      <c r="LF2" s="3294"/>
      <c r="LG2" s="3294"/>
      <c r="LH2" s="3294"/>
      <c r="LI2" s="3294"/>
      <c r="LJ2" s="3294"/>
      <c r="LK2" s="2525"/>
      <c r="LL2" s="2525"/>
      <c r="LM2" s="2525"/>
      <c r="LN2" s="2525"/>
      <c r="LO2" s="2525"/>
      <c r="LP2" s="2525"/>
      <c r="LQ2" s="2525"/>
      <c r="LR2" s="2525"/>
    </row>
    <row r="3" spans="1:330" ht="4.5" customHeight="1">
      <c r="A3" s="2566"/>
      <c r="B3" s="3294"/>
      <c r="C3" s="3611"/>
      <c r="D3" s="3303"/>
      <c r="E3" s="3303"/>
      <c r="F3" s="3303"/>
      <c r="G3" s="3303"/>
      <c r="H3" s="3303"/>
      <c r="I3" s="3303"/>
      <c r="J3" s="3303"/>
      <c r="K3" s="3303"/>
      <c r="L3" s="3303"/>
      <c r="M3" s="3303"/>
      <c r="N3" s="3303"/>
      <c r="O3" s="3304"/>
      <c r="P3" s="3305"/>
      <c r="Q3" s="3303"/>
      <c r="R3" s="3303"/>
      <c r="S3" s="3303"/>
      <c r="T3" s="3303"/>
      <c r="U3" s="3303"/>
      <c r="V3" s="3303"/>
      <c r="W3" s="3303"/>
      <c r="X3" s="3303"/>
      <c r="Y3" s="3303"/>
      <c r="Z3" s="3303"/>
      <c r="AA3" s="3304"/>
      <c r="AB3" s="3305"/>
      <c r="AC3" s="3303"/>
      <c r="AD3" s="3303"/>
      <c r="AE3" s="3303"/>
      <c r="AF3" s="3303"/>
      <c r="AG3" s="3303"/>
      <c r="AH3" s="3303"/>
      <c r="AI3" s="3303"/>
      <c r="AJ3" s="3303"/>
      <c r="AK3" s="3303"/>
      <c r="AL3" s="3303"/>
      <c r="AM3" s="3304"/>
      <c r="AN3" s="3305"/>
      <c r="AO3" s="3303"/>
      <c r="AP3" s="3303"/>
      <c r="AQ3" s="3303"/>
      <c r="AR3" s="3303"/>
      <c r="AS3" s="3303"/>
      <c r="AT3" s="3303"/>
      <c r="AU3" s="3303"/>
      <c r="AV3" s="3303"/>
      <c r="AW3" s="3303"/>
      <c r="AX3" s="3303"/>
      <c r="AY3" s="3304"/>
      <c r="AZ3" s="3303"/>
      <c r="BA3" s="3303"/>
      <c r="BB3" s="3303"/>
      <c r="BC3" s="3303"/>
      <c r="BD3" s="3303"/>
      <c r="BE3" s="3303"/>
      <c r="BF3" s="3303"/>
      <c r="BG3" s="3303"/>
      <c r="BH3" s="3303"/>
      <c r="BI3" s="3303"/>
      <c r="BJ3" s="3303"/>
      <c r="BK3" s="3306"/>
      <c r="BL3" s="3307"/>
      <c r="BM3" s="3308"/>
      <c r="BN3" s="3308"/>
      <c r="BO3" s="3308"/>
      <c r="BP3" s="3308"/>
      <c r="BQ3" s="3308"/>
      <c r="BR3" s="3308"/>
      <c r="BS3" s="3308"/>
      <c r="BT3" s="3308"/>
      <c r="BU3" s="3308"/>
      <c r="BV3" s="3308"/>
      <c r="BW3" s="3309"/>
      <c r="BX3" s="3307"/>
      <c r="BY3" s="3308"/>
      <c r="BZ3" s="3308"/>
      <c r="CA3" s="3308"/>
      <c r="CB3" s="3308"/>
      <c r="CC3" s="3308"/>
      <c r="CD3" s="3308"/>
      <c r="CE3" s="3308"/>
      <c r="CF3" s="3308"/>
      <c r="CG3" s="3308"/>
      <c r="CH3" s="3308"/>
      <c r="CI3" s="3308"/>
      <c r="CJ3" s="3310"/>
      <c r="CK3" s="3311"/>
      <c r="CL3" s="3311"/>
      <c r="CM3" s="3311"/>
      <c r="CN3" s="3311"/>
      <c r="CO3" s="3311"/>
      <c r="CP3" s="3311"/>
      <c r="CQ3" s="3311"/>
      <c r="CR3" s="3311"/>
      <c r="CS3" s="3311"/>
      <c r="CT3" s="3311"/>
      <c r="CU3" s="3312"/>
      <c r="CV3" s="3313"/>
      <c r="CW3" s="3314"/>
      <c r="CX3" s="3314"/>
      <c r="CY3" s="3314"/>
      <c r="CZ3" s="3314"/>
      <c r="DA3" s="3314"/>
      <c r="DB3" s="3314"/>
      <c r="DC3" s="3314"/>
      <c r="DD3" s="3314"/>
      <c r="DE3" s="3314"/>
      <c r="DF3" s="3314"/>
      <c r="DG3" s="3315"/>
      <c r="DH3" s="3316"/>
      <c r="DI3" s="3317"/>
      <c r="DJ3" s="3317"/>
      <c r="DK3" s="3317"/>
      <c r="DL3" s="3317"/>
      <c r="DM3" s="3317"/>
      <c r="DN3" s="3317"/>
      <c r="DO3" s="3317"/>
      <c r="DP3" s="3317"/>
      <c r="DQ3" s="3317"/>
      <c r="DR3" s="3317"/>
      <c r="DS3" s="3318"/>
      <c r="DT3" s="3319"/>
      <c r="DU3" s="3320"/>
      <c r="DV3" s="3320"/>
      <c r="DW3" s="3320"/>
      <c r="DX3" s="3320"/>
      <c r="DY3" s="3320"/>
      <c r="DZ3" s="3320"/>
      <c r="EA3" s="3320"/>
      <c r="EB3" s="3320"/>
      <c r="EC3" s="3320"/>
      <c r="ED3" s="3320"/>
      <c r="EE3" s="3320"/>
      <c r="EF3" s="3321"/>
      <c r="EG3" s="3322"/>
      <c r="EH3" s="3322"/>
      <c r="EI3" s="3322"/>
      <c r="EJ3" s="3322"/>
      <c r="EK3" s="3322"/>
      <c r="EL3" s="3322"/>
      <c r="EM3" s="3322"/>
      <c r="EN3" s="3322"/>
      <c r="EO3" s="3308"/>
      <c r="EP3" s="3322"/>
      <c r="EQ3" s="3322"/>
      <c r="ER3" s="3321"/>
      <c r="ES3" s="3322"/>
      <c r="ET3" s="3322"/>
      <c r="EU3" s="3322"/>
      <c r="EV3" s="3322"/>
      <c r="EW3" s="3322"/>
      <c r="EX3" s="3322"/>
      <c r="EY3" s="3322"/>
      <c r="EZ3" s="3322"/>
      <c r="FA3" s="3322"/>
      <c r="FB3" s="3322"/>
      <c r="FC3" s="3322"/>
      <c r="FD3" s="2723"/>
      <c r="FE3" s="2724"/>
      <c r="FF3" s="2724"/>
      <c r="FG3" s="2724"/>
      <c r="FH3" s="2724"/>
      <c r="FI3" s="2724"/>
      <c r="FJ3" s="2724"/>
      <c r="FK3" s="2724"/>
      <c r="FL3" s="2724"/>
      <c r="FM3" s="2724"/>
      <c r="FN3" s="2724"/>
      <c r="FO3" s="2724"/>
      <c r="FP3" s="2725"/>
      <c r="FQ3" s="3031"/>
      <c r="FR3" s="3031"/>
      <c r="FS3" s="3031"/>
      <c r="FT3" s="3031"/>
      <c r="FU3" s="3031"/>
      <c r="FV3" s="3031"/>
      <c r="FW3" s="3031"/>
      <c r="FX3" s="3031"/>
      <c r="FY3" s="3031"/>
      <c r="FZ3" s="3031"/>
      <c r="GA3" s="3031"/>
      <c r="GB3" s="3951"/>
      <c r="GC3" s="3952"/>
      <c r="GD3" s="3952"/>
      <c r="GE3" s="3952"/>
      <c r="GF3" s="3952"/>
      <c r="GG3" s="3952"/>
      <c r="GH3" s="3952"/>
      <c r="GI3" s="3952"/>
      <c r="GJ3" s="3952"/>
      <c r="GK3" s="3952"/>
      <c r="GL3" s="3952"/>
      <c r="GM3" s="3960"/>
      <c r="GN3" s="1239"/>
      <c r="GO3" s="1188"/>
      <c r="GP3" s="1188"/>
      <c r="GQ3" s="1188"/>
      <c r="GR3" s="1188"/>
      <c r="GS3" s="1188"/>
      <c r="GT3" s="1188"/>
      <c r="GU3" s="1188"/>
      <c r="GV3" s="1188"/>
      <c r="GW3" s="1188"/>
      <c r="GX3" s="1188"/>
      <c r="GY3" s="1188"/>
      <c r="GZ3" s="1188"/>
      <c r="HA3" s="1188"/>
      <c r="HB3" s="1188"/>
      <c r="HC3" s="1188"/>
      <c r="HD3" s="1188"/>
      <c r="HE3" s="2726"/>
      <c r="HF3" s="2726"/>
      <c r="HG3" s="2726"/>
      <c r="HH3" s="2726"/>
      <c r="HI3" s="2727"/>
      <c r="HJ3" s="2727"/>
      <c r="HK3" s="2727"/>
      <c r="HL3" s="2727"/>
      <c r="HM3" s="2728"/>
      <c r="HN3" s="2728"/>
      <c r="HO3" s="2728"/>
      <c r="HP3" s="2728"/>
      <c r="HQ3" s="2729"/>
      <c r="HR3" s="2729"/>
      <c r="HS3" s="2729"/>
      <c r="HT3" s="2729"/>
      <c r="HU3" s="2730"/>
      <c r="HV3" s="2730"/>
      <c r="HW3" s="2730"/>
      <c r="HX3" s="2730"/>
      <c r="HY3" s="2731"/>
      <c r="HZ3" s="2731"/>
      <c r="IA3" s="2731"/>
      <c r="IB3" s="2731"/>
      <c r="IC3" s="2732"/>
      <c r="ID3" s="2732"/>
      <c r="IE3" s="2732"/>
      <c r="IF3" s="2732"/>
      <c r="IG3" s="2733"/>
      <c r="IH3" s="2728"/>
      <c r="II3" s="2728"/>
      <c r="IJ3" s="2728"/>
      <c r="IK3" s="2733"/>
      <c r="IL3" s="2728"/>
      <c r="IM3" s="2728"/>
      <c r="IN3" s="2728"/>
      <c r="IO3" s="2723"/>
      <c r="IP3" s="2724"/>
      <c r="IQ3" s="2724"/>
      <c r="IR3" s="2734"/>
      <c r="IS3" s="2725"/>
      <c r="IT3" s="3031"/>
      <c r="IU3" s="3031"/>
      <c r="IV3" s="3031"/>
      <c r="IW3" s="3951"/>
      <c r="IX3" s="3952"/>
      <c r="IY3" s="3952"/>
      <c r="IZ3" s="3960"/>
      <c r="JA3" s="3956"/>
      <c r="JB3" s="3323"/>
      <c r="JC3" s="3324"/>
      <c r="JD3" s="3324"/>
      <c r="JE3" s="3324"/>
      <c r="JF3" s="3324"/>
      <c r="JG3" s="3324"/>
      <c r="JH3" s="3324"/>
      <c r="JI3" s="3324"/>
      <c r="JJ3" s="3324"/>
      <c r="JK3" s="3324"/>
      <c r="JL3" s="3324"/>
      <c r="JM3" s="3324"/>
      <c r="JN3" s="3325"/>
      <c r="JO3" s="3325"/>
      <c r="JP3" s="3325"/>
      <c r="JQ3" s="3326"/>
      <c r="JS3" s="4671"/>
      <c r="JT3" s="4682"/>
      <c r="JU3" s="2525"/>
      <c r="JV3" s="5389"/>
      <c r="JW3" s="5380"/>
      <c r="JX3" s="5379"/>
      <c r="JY3" s="5379"/>
      <c r="JZ3" s="5379"/>
      <c r="KA3" s="5379"/>
      <c r="KB3" s="5406"/>
      <c r="KC3" s="5408"/>
      <c r="KD3" s="709"/>
      <c r="KE3" s="5374"/>
      <c r="KF3" s="5373"/>
      <c r="KG3" s="5373"/>
      <c r="KH3" s="5373"/>
      <c r="KI3" s="5373"/>
      <c r="KJ3" s="5374"/>
      <c r="KK3" s="5373"/>
      <c r="KL3" s="5408"/>
      <c r="KM3" s="5408"/>
      <c r="KN3" s="3294"/>
      <c r="KO3" s="3294"/>
      <c r="KP3" s="3294"/>
      <c r="KQ3" s="3294"/>
      <c r="KR3" s="3294"/>
      <c r="KS3" s="3294"/>
      <c r="KT3" s="3294"/>
      <c r="KU3" s="3294"/>
      <c r="KV3" s="3294"/>
      <c r="KW3" s="3294"/>
      <c r="KX3" s="3294"/>
      <c r="KY3" s="3294"/>
      <c r="KZ3" s="3294"/>
      <c r="LA3" s="3294"/>
      <c r="LB3" s="3294"/>
      <c r="LC3" s="3294"/>
      <c r="LD3" s="3294"/>
      <c r="LE3" s="3294"/>
      <c r="LF3" s="3294"/>
      <c r="LG3" s="3294"/>
      <c r="LH3" s="3294"/>
      <c r="LI3" s="3294"/>
      <c r="LJ3" s="3294"/>
      <c r="LK3" s="2525"/>
      <c r="LL3" s="2525"/>
      <c r="LM3" s="2525"/>
      <c r="LN3" s="2525"/>
      <c r="LO3" s="2525"/>
      <c r="LP3" s="2525"/>
      <c r="LQ3" s="2525"/>
      <c r="LR3" s="2525"/>
    </row>
    <row r="4" spans="1:330" ht="15" thickBot="1">
      <c r="A4" s="2566"/>
      <c r="B4" s="3294"/>
      <c r="C4" s="3612" t="s">
        <v>1557</v>
      </c>
      <c r="D4" s="3327" t="s">
        <v>36</v>
      </c>
      <c r="E4" s="2534" t="s">
        <v>37</v>
      </c>
      <c r="F4" s="2534" t="s">
        <v>38</v>
      </c>
      <c r="G4" s="2534" t="s">
        <v>39</v>
      </c>
      <c r="H4" s="2534" t="s">
        <v>40</v>
      </c>
      <c r="I4" s="2534" t="s">
        <v>41</v>
      </c>
      <c r="J4" s="2534" t="s">
        <v>42</v>
      </c>
      <c r="K4" s="2534" t="s">
        <v>43</v>
      </c>
      <c r="L4" s="2534" t="s">
        <v>44</v>
      </c>
      <c r="M4" s="2534" t="s">
        <v>45</v>
      </c>
      <c r="N4" s="2534" t="s">
        <v>46</v>
      </c>
      <c r="O4" s="2535" t="s">
        <v>47</v>
      </c>
      <c r="P4" s="2533" t="s">
        <v>36</v>
      </c>
      <c r="Q4" s="2534" t="s">
        <v>37</v>
      </c>
      <c r="R4" s="2534" t="s">
        <v>38</v>
      </c>
      <c r="S4" s="2534" t="s">
        <v>39</v>
      </c>
      <c r="T4" s="2534" t="s">
        <v>40</v>
      </c>
      <c r="U4" s="2534" t="s">
        <v>41</v>
      </c>
      <c r="V4" s="2534" t="s">
        <v>42</v>
      </c>
      <c r="W4" s="2534" t="s">
        <v>43</v>
      </c>
      <c r="X4" s="2534" t="s">
        <v>44</v>
      </c>
      <c r="Y4" s="2534" t="s">
        <v>45</v>
      </c>
      <c r="Z4" s="2534" t="s">
        <v>46</v>
      </c>
      <c r="AA4" s="2535" t="s">
        <v>47</v>
      </c>
      <c r="AB4" s="2536" t="s">
        <v>36</v>
      </c>
      <c r="AC4" s="2537" t="s">
        <v>37</v>
      </c>
      <c r="AD4" s="2537" t="s">
        <v>38</v>
      </c>
      <c r="AE4" s="2537" t="s">
        <v>39</v>
      </c>
      <c r="AF4" s="2537" t="s">
        <v>40</v>
      </c>
      <c r="AG4" s="2537" t="s">
        <v>41</v>
      </c>
      <c r="AH4" s="2537" t="s">
        <v>42</v>
      </c>
      <c r="AI4" s="2537" t="s">
        <v>43</v>
      </c>
      <c r="AJ4" s="2537" t="s">
        <v>44</v>
      </c>
      <c r="AK4" s="2537" t="s">
        <v>45</v>
      </c>
      <c r="AL4" s="2537" t="s">
        <v>46</v>
      </c>
      <c r="AM4" s="2538" t="s">
        <v>47</v>
      </c>
      <c r="AN4" s="2536" t="s">
        <v>36</v>
      </c>
      <c r="AO4" s="2537" t="s">
        <v>37</v>
      </c>
      <c r="AP4" s="2537" t="s">
        <v>38</v>
      </c>
      <c r="AQ4" s="2537" t="s">
        <v>39</v>
      </c>
      <c r="AR4" s="2537" t="s">
        <v>40</v>
      </c>
      <c r="AS4" s="2537" t="s">
        <v>41</v>
      </c>
      <c r="AT4" s="2537" t="s">
        <v>42</v>
      </c>
      <c r="AU4" s="2537" t="s">
        <v>43</v>
      </c>
      <c r="AV4" s="2537" t="s">
        <v>44</v>
      </c>
      <c r="AW4" s="2537" t="s">
        <v>45</v>
      </c>
      <c r="AX4" s="2537" t="s">
        <v>46</v>
      </c>
      <c r="AY4" s="2538" t="s">
        <v>47</v>
      </c>
      <c r="AZ4" s="2539" t="s">
        <v>36</v>
      </c>
      <c r="BA4" s="2539" t="s">
        <v>37</v>
      </c>
      <c r="BB4" s="2539" t="s">
        <v>38</v>
      </c>
      <c r="BC4" s="2539" t="s">
        <v>39</v>
      </c>
      <c r="BD4" s="2539" t="s">
        <v>40</v>
      </c>
      <c r="BE4" s="2539" t="s">
        <v>41</v>
      </c>
      <c r="BF4" s="2539" t="s">
        <v>42</v>
      </c>
      <c r="BG4" s="2539" t="s">
        <v>43</v>
      </c>
      <c r="BH4" s="2539" t="s">
        <v>44</v>
      </c>
      <c r="BI4" s="2539" t="s">
        <v>45</v>
      </c>
      <c r="BJ4" s="2539" t="s">
        <v>46</v>
      </c>
      <c r="BK4" s="2540" t="s">
        <v>47</v>
      </c>
      <c r="BL4" s="2541" t="s">
        <v>36</v>
      </c>
      <c r="BM4" s="2542" t="s">
        <v>37</v>
      </c>
      <c r="BN4" s="2542" t="s">
        <v>38</v>
      </c>
      <c r="BO4" s="2542" t="s">
        <v>39</v>
      </c>
      <c r="BP4" s="2542" t="s">
        <v>40</v>
      </c>
      <c r="BQ4" s="2542" t="s">
        <v>41</v>
      </c>
      <c r="BR4" s="2542" t="s">
        <v>42</v>
      </c>
      <c r="BS4" s="2542" t="s">
        <v>43</v>
      </c>
      <c r="BT4" s="2543" t="s">
        <v>44</v>
      </c>
      <c r="BU4" s="2543" t="s">
        <v>45</v>
      </c>
      <c r="BV4" s="2543" t="s">
        <v>46</v>
      </c>
      <c r="BW4" s="2544" t="s">
        <v>47</v>
      </c>
      <c r="BX4" s="2545" t="s">
        <v>36</v>
      </c>
      <c r="BY4" s="2539" t="s">
        <v>37</v>
      </c>
      <c r="BZ4" s="2539" t="s">
        <v>38</v>
      </c>
      <c r="CA4" s="2539" t="s">
        <v>39</v>
      </c>
      <c r="CB4" s="2539" t="s">
        <v>40</v>
      </c>
      <c r="CC4" s="2539" t="s">
        <v>41</v>
      </c>
      <c r="CD4" s="2539" t="s">
        <v>42</v>
      </c>
      <c r="CE4" s="2539" t="s">
        <v>43</v>
      </c>
      <c r="CF4" s="2539" t="s">
        <v>44</v>
      </c>
      <c r="CG4" s="2539" t="s">
        <v>45</v>
      </c>
      <c r="CH4" s="2539" t="s">
        <v>46</v>
      </c>
      <c r="CI4" s="2539" t="s">
        <v>47</v>
      </c>
      <c r="CJ4" s="2536" t="s">
        <v>36</v>
      </c>
      <c r="CK4" s="2537" t="s">
        <v>37</v>
      </c>
      <c r="CL4" s="2537" t="s">
        <v>38</v>
      </c>
      <c r="CM4" s="2537" t="s">
        <v>39</v>
      </c>
      <c r="CN4" s="2537" t="s">
        <v>40</v>
      </c>
      <c r="CO4" s="2537" t="s">
        <v>41</v>
      </c>
      <c r="CP4" s="2537" t="s">
        <v>42</v>
      </c>
      <c r="CQ4" s="2537" t="s">
        <v>43</v>
      </c>
      <c r="CR4" s="2537" t="s">
        <v>44</v>
      </c>
      <c r="CS4" s="2537" t="s">
        <v>45</v>
      </c>
      <c r="CT4" s="2537" t="s">
        <v>46</v>
      </c>
      <c r="CU4" s="2538" t="s">
        <v>47</v>
      </c>
      <c r="CV4" s="2546" t="s">
        <v>36</v>
      </c>
      <c r="CW4" s="2539" t="s">
        <v>37</v>
      </c>
      <c r="CX4" s="2539" t="s">
        <v>38</v>
      </c>
      <c r="CY4" s="2539" t="s">
        <v>39</v>
      </c>
      <c r="CZ4" s="2539" t="s">
        <v>40</v>
      </c>
      <c r="DA4" s="2539" t="s">
        <v>41</v>
      </c>
      <c r="DB4" s="2539" t="s">
        <v>42</v>
      </c>
      <c r="DC4" s="2539" t="s">
        <v>43</v>
      </c>
      <c r="DD4" s="2539" t="s">
        <v>44</v>
      </c>
      <c r="DE4" s="2539" t="s">
        <v>45</v>
      </c>
      <c r="DF4" s="2539" t="e">
        <f>+#REF!</f>
        <v>#REF!</v>
      </c>
      <c r="DG4" s="2547" t="s">
        <v>47</v>
      </c>
      <c r="DH4" s="2546" t="s">
        <v>36</v>
      </c>
      <c r="DI4" s="2539" t="s">
        <v>37</v>
      </c>
      <c r="DJ4" s="2539" t="s">
        <v>38</v>
      </c>
      <c r="DK4" s="2539" t="s">
        <v>39</v>
      </c>
      <c r="DL4" s="2539" t="s">
        <v>40</v>
      </c>
      <c r="DM4" s="2539" t="s">
        <v>41</v>
      </c>
      <c r="DN4" s="2539" t="s">
        <v>42</v>
      </c>
      <c r="DO4" s="2539" t="s">
        <v>43</v>
      </c>
      <c r="DP4" s="2548" t="s">
        <v>183</v>
      </c>
      <c r="DQ4" s="2539" t="s">
        <v>45</v>
      </c>
      <c r="DR4" s="2539" t="s">
        <v>46</v>
      </c>
      <c r="DS4" s="2547" t="s">
        <v>47</v>
      </c>
      <c r="DT4" s="2546" t="s">
        <v>36</v>
      </c>
      <c r="DU4" s="2539" t="s">
        <v>37</v>
      </c>
      <c r="DV4" s="2539" t="s">
        <v>38</v>
      </c>
      <c r="DW4" s="2539" t="s">
        <v>39</v>
      </c>
      <c r="DX4" s="2539" t="s">
        <v>40</v>
      </c>
      <c r="DY4" s="2539" t="s">
        <v>41</v>
      </c>
      <c r="DZ4" s="2539" t="s">
        <v>42</v>
      </c>
      <c r="EA4" s="2539" t="s">
        <v>43</v>
      </c>
      <c r="EB4" s="2539" t="s">
        <v>183</v>
      </c>
      <c r="EC4" s="2539" t="s">
        <v>45</v>
      </c>
      <c r="ED4" s="2539" t="s">
        <v>46</v>
      </c>
      <c r="EE4" s="2539" t="s">
        <v>47</v>
      </c>
      <c r="EF4" s="2549" t="s">
        <v>36</v>
      </c>
      <c r="EG4" s="2539" t="s">
        <v>37</v>
      </c>
      <c r="EH4" s="2539" t="s">
        <v>38</v>
      </c>
      <c r="EI4" s="2539" t="s">
        <v>39</v>
      </c>
      <c r="EJ4" s="2539" t="s">
        <v>40</v>
      </c>
      <c r="EK4" s="2539" t="s">
        <v>41</v>
      </c>
      <c r="EL4" s="2539" t="s">
        <v>42</v>
      </c>
      <c r="EM4" s="2539" t="s">
        <v>43</v>
      </c>
      <c r="EN4" s="2539" t="s">
        <v>183</v>
      </c>
      <c r="EO4" s="2550" t="s">
        <v>45</v>
      </c>
      <c r="EP4" s="2550" t="s">
        <v>46</v>
      </c>
      <c r="EQ4" s="2539" t="s">
        <v>47</v>
      </c>
      <c r="ER4" s="2549" t="s">
        <v>36</v>
      </c>
      <c r="ES4" s="2539" t="s">
        <v>37</v>
      </c>
      <c r="ET4" s="2539" t="s">
        <v>38</v>
      </c>
      <c r="EU4" s="2539" t="s">
        <v>39</v>
      </c>
      <c r="EV4" s="2539" t="s">
        <v>40</v>
      </c>
      <c r="EW4" s="2539" t="s">
        <v>41</v>
      </c>
      <c r="EX4" s="2539" t="s">
        <v>42</v>
      </c>
      <c r="EY4" s="2539" t="s">
        <v>43</v>
      </c>
      <c r="EZ4" s="2539" t="s">
        <v>183</v>
      </c>
      <c r="FA4" s="2539" t="s">
        <v>45</v>
      </c>
      <c r="FB4" s="2550" t="s">
        <v>46</v>
      </c>
      <c r="FC4" s="2550" t="s">
        <v>47</v>
      </c>
      <c r="FD4" s="2736" t="s">
        <v>36</v>
      </c>
      <c r="FE4" s="2737" t="s">
        <v>37</v>
      </c>
      <c r="FF4" s="2737" t="s">
        <v>38</v>
      </c>
      <c r="FG4" s="2737" t="s">
        <v>39</v>
      </c>
      <c r="FH4" s="2737" t="s">
        <v>40</v>
      </c>
      <c r="FI4" s="2737" t="s">
        <v>41</v>
      </c>
      <c r="FJ4" s="2737" t="s">
        <v>42</v>
      </c>
      <c r="FK4" s="2737" t="s">
        <v>43</v>
      </c>
      <c r="FL4" s="2737" t="s">
        <v>183</v>
      </c>
      <c r="FM4" s="2737" t="s">
        <v>45</v>
      </c>
      <c r="FN4" s="2738" t="s">
        <v>46</v>
      </c>
      <c r="FO4" s="2738" t="s">
        <v>47</v>
      </c>
      <c r="FP4" s="2736" t="s">
        <v>36</v>
      </c>
      <c r="FQ4" s="2737" t="s">
        <v>37</v>
      </c>
      <c r="FR4" s="2737" t="s">
        <v>38</v>
      </c>
      <c r="FS4" s="2737" t="s">
        <v>39</v>
      </c>
      <c r="FT4" s="2737" t="s">
        <v>40</v>
      </c>
      <c r="FU4" s="2737" t="s">
        <v>41</v>
      </c>
      <c r="FV4" s="2737" t="s">
        <v>42</v>
      </c>
      <c r="FW4" s="2737" t="s">
        <v>43</v>
      </c>
      <c r="FX4" s="2737" t="s">
        <v>183</v>
      </c>
      <c r="FY4" s="2737" t="s">
        <v>45</v>
      </c>
      <c r="FZ4" s="2737" t="s">
        <v>46</v>
      </c>
      <c r="GA4" s="2737" t="s">
        <v>47</v>
      </c>
      <c r="GB4" s="3951" t="s">
        <v>36</v>
      </c>
      <c r="GC4" s="3952" t="s">
        <v>37</v>
      </c>
      <c r="GD4" s="3952" t="s">
        <v>38</v>
      </c>
      <c r="GE4" s="3952" t="s">
        <v>39</v>
      </c>
      <c r="GF4" s="3952" t="s">
        <v>40</v>
      </c>
      <c r="GG4" s="3952" t="s">
        <v>41</v>
      </c>
      <c r="GH4" s="3952" t="s">
        <v>42</v>
      </c>
      <c r="GI4" s="3952" t="s">
        <v>43</v>
      </c>
      <c r="GJ4" s="3952" t="s">
        <v>183</v>
      </c>
      <c r="GK4" s="3952" t="s">
        <v>45</v>
      </c>
      <c r="GL4" s="3952" t="s">
        <v>46</v>
      </c>
      <c r="GM4" s="3960" t="s">
        <v>47</v>
      </c>
      <c r="GN4" s="1239"/>
      <c r="GO4" s="2739" t="s">
        <v>167</v>
      </c>
      <c r="GP4" s="2740" t="s">
        <v>453</v>
      </c>
      <c r="GQ4" s="2740" t="s">
        <v>454</v>
      </c>
      <c r="GR4" s="2741" t="s">
        <v>455</v>
      </c>
      <c r="GS4" s="2739" t="s">
        <v>167</v>
      </c>
      <c r="GT4" s="2740" t="s">
        <v>453</v>
      </c>
      <c r="GU4" s="2740" t="s">
        <v>454</v>
      </c>
      <c r="GV4" s="2741" t="s">
        <v>455</v>
      </c>
      <c r="GW4" s="2742" t="s">
        <v>167</v>
      </c>
      <c r="GX4" s="2743" t="s">
        <v>453</v>
      </c>
      <c r="GY4" s="2743" t="s">
        <v>456</v>
      </c>
      <c r="GZ4" s="2743" t="s">
        <v>457</v>
      </c>
      <c r="HA4" s="2744" t="s">
        <v>167</v>
      </c>
      <c r="HB4" s="2745" t="s">
        <v>458</v>
      </c>
      <c r="HC4" s="2745" t="s">
        <v>459</v>
      </c>
      <c r="HD4" s="2746" t="s">
        <v>455</v>
      </c>
      <c r="HE4" s="2747" t="s">
        <v>167</v>
      </c>
      <c r="HF4" s="2748" t="s">
        <v>453</v>
      </c>
      <c r="HG4" s="2748" t="s">
        <v>456</v>
      </c>
      <c r="HH4" s="2749" t="s">
        <v>457</v>
      </c>
      <c r="HI4" s="2625" t="s">
        <v>167</v>
      </c>
      <c r="HJ4" s="2625" t="s">
        <v>453</v>
      </c>
      <c r="HK4" s="2625" t="s">
        <v>456</v>
      </c>
      <c r="HL4" s="2625" t="s">
        <v>457</v>
      </c>
      <c r="HM4" s="2625" t="s">
        <v>167</v>
      </c>
      <c r="HN4" s="2625" t="s">
        <v>453</v>
      </c>
      <c r="HO4" s="2625" t="s">
        <v>456</v>
      </c>
      <c r="HP4" s="2625" t="s">
        <v>457</v>
      </c>
      <c r="HQ4" s="2625" t="s">
        <v>167</v>
      </c>
      <c r="HR4" s="2625" t="s">
        <v>453</v>
      </c>
      <c r="HS4" s="2625" t="s">
        <v>456</v>
      </c>
      <c r="HT4" s="2625" t="s">
        <v>457</v>
      </c>
      <c r="HU4" s="2625" t="s">
        <v>167</v>
      </c>
      <c r="HV4" s="2625" t="s">
        <v>168</v>
      </c>
      <c r="HW4" s="2625" t="s">
        <v>456</v>
      </c>
      <c r="HX4" s="2625" t="s">
        <v>457</v>
      </c>
      <c r="HY4" s="2625" t="s">
        <v>167</v>
      </c>
      <c r="HZ4" s="2625" t="s">
        <v>453</v>
      </c>
      <c r="IA4" s="2625" t="s">
        <v>456</v>
      </c>
      <c r="IB4" s="2625" t="s">
        <v>457</v>
      </c>
      <c r="IC4" s="2625" t="s">
        <v>167</v>
      </c>
      <c r="ID4" s="2625" t="s">
        <v>453</v>
      </c>
      <c r="IE4" s="2625" t="s">
        <v>456</v>
      </c>
      <c r="IF4" s="2625" t="s">
        <v>457</v>
      </c>
      <c r="IG4" s="2750" t="s">
        <v>167</v>
      </c>
      <c r="IH4" s="2625" t="s">
        <v>453</v>
      </c>
      <c r="II4" s="2625" t="s">
        <v>456</v>
      </c>
      <c r="IJ4" s="2625" t="s">
        <v>457</v>
      </c>
      <c r="IK4" s="2750" t="s">
        <v>167</v>
      </c>
      <c r="IL4" s="2625" t="s">
        <v>453</v>
      </c>
      <c r="IM4" s="2625" t="s">
        <v>456</v>
      </c>
      <c r="IN4" s="2625" t="s">
        <v>457</v>
      </c>
      <c r="IO4" s="2751" t="s">
        <v>167</v>
      </c>
      <c r="IP4" s="2752" t="s">
        <v>453</v>
      </c>
      <c r="IQ4" s="2752" t="s">
        <v>456</v>
      </c>
      <c r="IR4" s="2753" t="s">
        <v>457</v>
      </c>
      <c r="IS4" s="2750" t="s">
        <v>167</v>
      </c>
      <c r="IT4" s="2625" t="s">
        <v>453</v>
      </c>
      <c r="IU4" s="2625" t="s">
        <v>456</v>
      </c>
      <c r="IV4" s="2625" t="s">
        <v>457</v>
      </c>
      <c r="IW4" s="3951" t="s">
        <v>167</v>
      </c>
      <c r="IX4" s="3952" t="s">
        <v>453</v>
      </c>
      <c r="IY4" s="3952" t="s">
        <v>456</v>
      </c>
      <c r="IZ4" s="3960" t="s">
        <v>457</v>
      </c>
      <c r="JA4" s="3955"/>
      <c r="JB4" s="2551" t="s">
        <v>48</v>
      </c>
      <c r="JC4" s="2551" t="s">
        <v>48</v>
      </c>
      <c r="JD4" s="2551" t="s">
        <v>48</v>
      </c>
      <c r="JE4" s="2551" t="s">
        <v>48</v>
      </c>
      <c r="JF4" s="2551" t="s">
        <v>48</v>
      </c>
      <c r="JG4" s="2551" t="s">
        <v>48</v>
      </c>
      <c r="JH4" s="2551" t="s">
        <v>48</v>
      </c>
      <c r="JI4" s="2551" t="s">
        <v>48</v>
      </c>
      <c r="JJ4" s="2551" t="s">
        <v>48</v>
      </c>
      <c r="JK4" s="2551" t="s">
        <v>48</v>
      </c>
      <c r="JL4" s="2551" t="s">
        <v>48</v>
      </c>
      <c r="JM4" s="2552" t="s">
        <v>48</v>
      </c>
      <c r="JN4" s="2554" t="s">
        <v>48</v>
      </c>
      <c r="JO4" s="2554" t="s">
        <v>1472</v>
      </c>
      <c r="JP4" s="2554" t="s">
        <v>1472</v>
      </c>
      <c r="JQ4" s="2555" t="s">
        <v>1642</v>
      </c>
      <c r="JS4" s="4672" t="s">
        <v>1618</v>
      </c>
      <c r="JT4" s="4683" t="s">
        <v>1618</v>
      </c>
      <c r="JU4" s="2525"/>
      <c r="JV4" s="5390"/>
      <c r="JW4" s="5380"/>
      <c r="JX4" s="5379"/>
      <c r="JY4" s="5379"/>
      <c r="JZ4" s="5379"/>
      <c r="KA4" s="5379"/>
      <c r="KB4" s="5406"/>
      <c r="KC4" s="5408"/>
      <c r="KD4" s="709"/>
      <c r="KE4" s="5374"/>
      <c r="KF4" s="5373"/>
      <c r="KG4" s="5373"/>
      <c r="KH4" s="5373"/>
      <c r="KI4" s="5373"/>
      <c r="KJ4" s="5374"/>
      <c r="KK4" s="5373"/>
      <c r="KL4" s="5408"/>
      <c r="KM4" s="5408"/>
      <c r="KN4" s="3294"/>
      <c r="KO4" s="3294"/>
      <c r="KP4" s="3294"/>
      <c r="KQ4" s="3294"/>
      <c r="KR4" s="3294"/>
      <c r="KS4" s="3294"/>
      <c r="KT4" s="3294"/>
      <c r="KU4" s="3294"/>
      <c r="KV4" s="3294"/>
      <c r="KW4" s="3294"/>
      <c r="KX4" s="3294"/>
      <c r="KY4" s="3294"/>
      <c r="KZ4" s="3294"/>
      <c r="LA4" s="3294"/>
      <c r="LB4" s="3294"/>
      <c r="LC4" s="3294"/>
      <c r="LD4" s="3294"/>
      <c r="LE4" s="3294"/>
      <c r="LF4" s="3294"/>
      <c r="LG4" s="3294"/>
      <c r="LH4" s="3294"/>
      <c r="LI4" s="3294"/>
      <c r="LJ4" s="3294"/>
      <c r="LK4" s="2525"/>
      <c r="LL4" s="2525"/>
      <c r="LM4" s="2525"/>
      <c r="LN4" s="2525"/>
      <c r="LO4" s="2525"/>
      <c r="LP4" s="2525"/>
      <c r="LQ4" s="2525"/>
      <c r="LR4" s="2525"/>
    </row>
    <row r="5" spans="1:330" ht="15" thickBot="1">
      <c r="A5" s="2566"/>
      <c r="B5" s="3294"/>
      <c r="C5" s="3613"/>
      <c r="D5" s="3614"/>
      <c r="E5" s="3615"/>
      <c r="F5" s="3615"/>
      <c r="G5" s="3615"/>
      <c r="H5" s="3615"/>
      <c r="I5" s="3615"/>
      <c r="J5" s="3615"/>
      <c r="K5" s="3615"/>
      <c r="L5" s="3615"/>
      <c r="M5" s="3615"/>
      <c r="N5" s="3615"/>
      <c r="O5" s="3616"/>
      <c r="P5" s="3617"/>
      <c r="Q5" s="3615"/>
      <c r="R5" s="3615"/>
      <c r="S5" s="3615"/>
      <c r="T5" s="3615"/>
      <c r="U5" s="3615"/>
      <c r="V5" s="3615"/>
      <c r="W5" s="3615"/>
      <c r="X5" s="3615"/>
      <c r="Y5" s="3615"/>
      <c r="Z5" s="3615"/>
      <c r="AA5" s="3616"/>
      <c r="AB5" s="2536"/>
      <c r="AC5" s="2537"/>
      <c r="AD5" s="2537"/>
      <c r="AE5" s="2537"/>
      <c r="AF5" s="2537"/>
      <c r="AG5" s="2537"/>
      <c r="AH5" s="2537"/>
      <c r="AI5" s="2537"/>
      <c r="AJ5" s="2537"/>
      <c r="AK5" s="2537"/>
      <c r="AL5" s="2537"/>
      <c r="AM5" s="2538"/>
      <c r="AN5" s="2536"/>
      <c r="AO5" s="2537"/>
      <c r="AP5" s="2537"/>
      <c r="AQ5" s="2537"/>
      <c r="AR5" s="2537"/>
      <c r="AS5" s="2537"/>
      <c r="AT5" s="2537"/>
      <c r="AU5" s="2537"/>
      <c r="AV5" s="2537"/>
      <c r="AW5" s="2537"/>
      <c r="AX5" s="2537"/>
      <c r="AY5" s="2538"/>
      <c r="AZ5" s="2539"/>
      <c r="BA5" s="2539"/>
      <c r="BB5" s="2539"/>
      <c r="BC5" s="2539"/>
      <c r="BD5" s="2539"/>
      <c r="BE5" s="2539"/>
      <c r="BF5" s="2539"/>
      <c r="BG5" s="2539"/>
      <c r="BH5" s="2539"/>
      <c r="BI5" s="2539"/>
      <c r="BJ5" s="2539"/>
      <c r="BK5" s="2540"/>
      <c r="BL5" s="2545"/>
      <c r="BM5" s="2539"/>
      <c r="BN5" s="2539"/>
      <c r="BO5" s="2539"/>
      <c r="BP5" s="2539"/>
      <c r="BQ5" s="2539"/>
      <c r="BR5" s="2539"/>
      <c r="BS5" s="2539"/>
      <c r="BT5" s="3618"/>
      <c r="BU5" s="3618"/>
      <c r="BV5" s="3618"/>
      <c r="BW5" s="2540"/>
      <c r="BX5" s="2545"/>
      <c r="BY5" s="2539"/>
      <c r="BZ5" s="2539"/>
      <c r="CA5" s="2539"/>
      <c r="CB5" s="2539"/>
      <c r="CC5" s="2539"/>
      <c r="CD5" s="2539"/>
      <c r="CE5" s="2539"/>
      <c r="CF5" s="2539"/>
      <c r="CG5" s="2539"/>
      <c r="CH5" s="2539"/>
      <c r="CI5" s="2539"/>
      <c r="CJ5" s="2536"/>
      <c r="CK5" s="2537"/>
      <c r="CL5" s="2537"/>
      <c r="CM5" s="2537"/>
      <c r="CN5" s="2537"/>
      <c r="CO5" s="2537"/>
      <c r="CP5" s="2537"/>
      <c r="CQ5" s="2537"/>
      <c r="CR5" s="2537"/>
      <c r="CS5" s="2537"/>
      <c r="CT5" s="2537"/>
      <c r="CU5" s="2538"/>
      <c r="CV5" s="2546"/>
      <c r="CW5" s="2539"/>
      <c r="CX5" s="2539"/>
      <c r="CY5" s="2539"/>
      <c r="CZ5" s="2539"/>
      <c r="DA5" s="2539"/>
      <c r="DB5" s="2539"/>
      <c r="DC5" s="2539"/>
      <c r="DD5" s="2539"/>
      <c r="DE5" s="2539"/>
      <c r="DF5" s="2539"/>
      <c r="DG5" s="2547"/>
      <c r="DH5" s="2546"/>
      <c r="DI5" s="2539"/>
      <c r="DJ5" s="2539"/>
      <c r="DK5" s="2539"/>
      <c r="DL5" s="2539"/>
      <c r="DM5" s="2539"/>
      <c r="DN5" s="2539"/>
      <c r="DO5" s="2539"/>
      <c r="DP5" s="2548"/>
      <c r="DQ5" s="2539"/>
      <c r="DR5" s="2539"/>
      <c r="DS5" s="2547"/>
      <c r="DT5" s="2546"/>
      <c r="DU5" s="2539"/>
      <c r="DV5" s="2539"/>
      <c r="DW5" s="2539"/>
      <c r="DX5" s="2539"/>
      <c r="DY5" s="2539"/>
      <c r="DZ5" s="2539"/>
      <c r="EA5" s="2539"/>
      <c r="EB5" s="2539"/>
      <c r="EC5" s="2539"/>
      <c r="ED5" s="2539"/>
      <c r="EE5" s="2539"/>
      <c r="EF5" s="2549"/>
      <c r="EG5" s="2539"/>
      <c r="EH5" s="2539"/>
      <c r="EI5" s="2539"/>
      <c r="EJ5" s="2539"/>
      <c r="EK5" s="2539"/>
      <c r="EL5" s="2539"/>
      <c r="EM5" s="2539"/>
      <c r="EN5" s="2539"/>
      <c r="EO5" s="2550"/>
      <c r="EP5" s="2550"/>
      <c r="EQ5" s="2539"/>
      <c r="ER5" s="3633">
        <v>43466</v>
      </c>
      <c r="ES5" s="3633">
        <v>43497</v>
      </c>
      <c r="ET5" s="3633">
        <v>43525</v>
      </c>
      <c r="EU5" s="3633">
        <v>43556</v>
      </c>
      <c r="EV5" s="3633">
        <v>43586</v>
      </c>
      <c r="EW5" s="3633">
        <v>43617</v>
      </c>
      <c r="EX5" s="3633">
        <v>43647</v>
      </c>
      <c r="EY5" s="3633">
        <v>43678</v>
      </c>
      <c r="EZ5" s="3633">
        <v>43709</v>
      </c>
      <c r="FA5" s="3633">
        <v>43739</v>
      </c>
      <c r="FB5" s="3633">
        <v>43770</v>
      </c>
      <c r="FC5" s="3633">
        <v>43800</v>
      </c>
      <c r="FD5" s="3633">
        <v>43831</v>
      </c>
      <c r="FE5" s="3633">
        <v>43862</v>
      </c>
      <c r="FF5" s="3633">
        <v>43891</v>
      </c>
      <c r="FG5" s="3633">
        <v>43922</v>
      </c>
      <c r="FH5" s="3633">
        <v>43952</v>
      </c>
      <c r="FI5" s="3633">
        <v>43983</v>
      </c>
      <c r="FJ5" s="3633">
        <v>44013</v>
      </c>
      <c r="FK5" s="3633">
        <v>44044</v>
      </c>
      <c r="FL5" s="3633">
        <v>44075</v>
      </c>
      <c r="FM5" s="3633">
        <v>44105</v>
      </c>
      <c r="FN5" s="3633">
        <v>44136</v>
      </c>
      <c r="FO5" s="3633">
        <v>44166</v>
      </c>
      <c r="FP5" s="3633">
        <v>44197</v>
      </c>
      <c r="FQ5" s="3633">
        <v>44228</v>
      </c>
      <c r="FR5" s="3633">
        <v>44256</v>
      </c>
      <c r="FS5" s="3633">
        <v>44287</v>
      </c>
      <c r="FT5" s="3633">
        <v>44317</v>
      </c>
      <c r="FU5" s="3633">
        <v>44348</v>
      </c>
      <c r="FV5" s="3633">
        <v>44378</v>
      </c>
      <c r="FW5" s="3633">
        <v>44409</v>
      </c>
      <c r="FX5" s="3633">
        <v>44440</v>
      </c>
      <c r="FY5" s="3633">
        <v>44470</v>
      </c>
      <c r="FZ5" s="3633">
        <v>44501</v>
      </c>
      <c r="GA5" s="3633">
        <v>44531</v>
      </c>
      <c r="GB5" s="3970">
        <v>44562</v>
      </c>
      <c r="GC5" s="3970">
        <v>44593</v>
      </c>
      <c r="GD5" s="3970">
        <v>44621</v>
      </c>
      <c r="GE5" s="3970">
        <v>44652</v>
      </c>
      <c r="GF5" s="3970">
        <v>44682</v>
      </c>
      <c r="GG5" s="3970">
        <v>44713</v>
      </c>
      <c r="GH5" s="3970">
        <v>44743</v>
      </c>
      <c r="GI5" s="3970">
        <v>44774</v>
      </c>
      <c r="GJ5" s="3970">
        <v>44805</v>
      </c>
      <c r="GK5" s="3970">
        <v>44835</v>
      </c>
      <c r="GL5" s="3970">
        <v>44866</v>
      </c>
      <c r="GM5" s="3971">
        <v>44896</v>
      </c>
      <c r="GN5" s="1239"/>
      <c r="GO5" s="3619"/>
      <c r="GP5" s="3620"/>
      <c r="GQ5" s="3620"/>
      <c r="GR5" s="3621"/>
      <c r="GS5" s="3619"/>
      <c r="GT5" s="3620"/>
      <c r="GU5" s="3620"/>
      <c r="GV5" s="3621"/>
      <c r="GW5" s="3622"/>
      <c r="GX5" s="1239"/>
      <c r="GY5" s="1239"/>
      <c r="GZ5" s="1239"/>
      <c r="HA5" s="3623"/>
      <c r="HB5" s="1239"/>
      <c r="HC5" s="1239"/>
      <c r="HD5" s="3624"/>
      <c r="HE5" s="3625"/>
      <c r="HF5" s="2625"/>
      <c r="HG5" s="2625"/>
      <c r="HH5" s="3626"/>
      <c r="HI5" s="2625"/>
      <c r="HJ5" s="2625"/>
      <c r="HK5" s="2625"/>
      <c r="HL5" s="2625"/>
      <c r="HM5" s="2625"/>
      <c r="HN5" s="2625"/>
      <c r="HO5" s="2625"/>
      <c r="HP5" s="2625"/>
      <c r="HQ5" s="2625"/>
      <c r="HR5" s="2625"/>
      <c r="HS5" s="2625"/>
      <c r="HT5" s="2625"/>
      <c r="HU5" s="2625"/>
      <c r="HV5" s="2625"/>
      <c r="HW5" s="2625"/>
      <c r="HX5" s="2625"/>
      <c r="HY5" s="2625"/>
      <c r="HZ5" s="2625"/>
      <c r="IA5" s="2625"/>
      <c r="IB5" s="2625"/>
      <c r="IC5" s="2625"/>
      <c r="ID5" s="2625"/>
      <c r="IE5" s="2625"/>
      <c r="IF5" s="2625"/>
      <c r="IG5" s="2750"/>
      <c r="IH5" s="2625"/>
      <c r="II5" s="2625"/>
      <c r="IJ5" s="2625"/>
      <c r="IK5" s="2750"/>
      <c r="IL5" s="2625"/>
      <c r="IM5" s="2625"/>
      <c r="IN5" s="2625"/>
      <c r="IO5" s="2750"/>
      <c r="IP5" s="2625"/>
      <c r="IQ5" s="2625"/>
      <c r="IR5" s="3627"/>
      <c r="IS5" s="2750"/>
      <c r="IT5" s="2625"/>
      <c r="IU5" s="2625"/>
      <c r="IV5" s="2625"/>
      <c r="IW5" s="3951"/>
      <c r="IX5" s="3952"/>
      <c r="IY5" s="3952"/>
      <c r="IZ5" s="3960"/>
      <c r="JA5" s="3955"/>
      <c r="JB5" s="2551"/>
      <c r="JC5" s="3628"/>
      <c r="JD5" s="3628"/>
      <c r="JE5" s="3628"/>
      <c r="JF5" s="3628"/>
      <c r="JG5" s="3628"/>
      <c r="JH5" s="3629"/>
      <c r="JI5" s="3629"/>
      <c r="JJ5" s="3629"/>
      <c r="JK5" s="3629"/>
      <c r="JL5" s="3629"/>
      <c r="JM5" s="3629"/>
      <c r="JN5" s="3631"/>
      <c r="JO5" s="3631"/>
      <c r="JP5" s="3631"/>
      <c r="JQ5" s="2554"/>
      <c r="JS5" s="4684"/>
      <c r="JT5" s="4685"/>
      <c r="JU5" s="2525"/>
      <c r="JV5" s="3603"/>
      <c r="JW5" s="3601"/>
      <c r="JX5" s="3598"/>
      <c r="JY5" s="3598"/>
      <c r="JZ5" s="3598"/>
      <c r="KA5" s="3598"/>
      <c r="KB5" s="4686"/>
      <c r="KC5" s="5409"/>
      <c r="KD5" s="709"/>
      <c r="KE5" s="3600"/>
      <c r="KF5" s="3599"/>
      <c r="KG5" s="3599"/>
      <c r="KH5" s="3599"/>
      <c r="KI5" s="3599"/>
      <c r="KJ5" s="4655"/>
      <c r="KK5" s="4654"/>
      <c r="KL5" s="2555"/>
      <c r="KM5" s="2555"/>
      <c r="KN5" s="3294"/>
      <c r="KO5" s="3294"/>
      <c r="KP5" s="3294"/>
      <c r="KQ5" s="3294"/>
      <c r="KR5" s="3294"/>
      <c r="KS5" s="3294"/>
      <c r="KT5" s="3294"/>
      <c r="KU5" s="3294"/>
      <c r="KV5" s="3294"/>
      <c r="KW5" s="3294"/>
      <c r="KX5" s="3294"/>
      <c r="KY5" s="3294"/>
      <c r="KZ5" s="3294"/>
      <c r="LA5" s="3294"/>
      <c r="LB5" s="3294"/>
      <c r="LC5" s="3294"/>
      <c r="LD5" s="3294"/>
      <c r="LE5" s="3294"/>
      <c r="LF5" s="3294"/>
      <c r="LG5" s="3294"/>
      <c r="LH5" s="3294"/>
      <c r="LI5" s="3294"/>
      <c r="LJ5" s="3294"/>
      <c r="LK5" s="2525"/>
      <c r="LL5" s="2525"/>
      <c r="LM5" s="2525"/>
      <c r="LN5" s="2525"/>
      <c r="LO5" s="2525"/>
      <c r="LP5" s="2525"/>
      <c r="LQ5" s="2525"/>
      <c r="LR5" s="2525"/>
    </row>
    <row r="6" spans="1:330" ht="15" hidden="1" customHeight="1" thickBot="1">
      <c r="A6" s="2566"/>
      <c r="B6" s="3328"/>
      <c r="C6" s="3329" t="s">
        <v>9</v>
      </c>
      <c r="D6" s="3330">
        <v>4125</v>
      </c>
      <c r="E6" s="3331">
        <v>5109</v>
      </c>
      <c r="F6" s="3331">
        <v>3995</v>
      </c>
      <c r="G6" s="3331">
        <v>3559</v>
      </c>
      <c r="H6" s="3331">
        <v>4084</v>
      </c>
      <c r="I6" s="3331">
        <v>7256</v>
      </c>
      <c r="J6" s="3331">
        <v>7516</v>
      </c>
      <c r="K6" s="3331">
        <v>5818</v>
      </c>
      <c r="L6" s="3331">
        <v>4173</v>
      </c>
      <c r="M6" s="3331">
        <v>3257</v>
      </c>
      <c r="N6" s="3331">
        <v>4570</v>
      </c>
      <c r="O6" s="3332">
        <v>5712</v>
      </c>
      <c r="P6" s="3333">
        <v>3653</v>
      </c>
      <c r="Q6" s="3334">
        <v>4175</v>
      </c>
      <c r="R6" s="3334">
        <v>2857</v>
      </c>
      <c r="S6" s="3334">
        <v>1942</v>
      </c>
      <c r="T6" s="3334">
        <v>2424</v>
      </c>
      <c r="U6" s="3334">
        <v>3478</v>
      </c>
      <c r="V6" s="3334">
        <v>2812</v>
      </c>
      <c r="W6" s="3334">
        <v>2074</v>
      </c>
      <c r="X6" s="3334">
        <v>1182</v>
      </c>
      <c r="Y6" s="3334">
        <v>1427</v>
      </c>
      <c r="Z6" s="3334">
        <v>1712</v>
      </c>
      <c r="AA6" s="3335">
        <v>2004</v>
      </c>
      <c r="AB6" s="3336">
        <v>1619</v>
      </c>
      <c r="AC6" s="3337">
        <v>2092</v>
      </c>
      <c r="AD6" s="3337">
        <v>1575</v>
      </c>
      <c r="AE6" s="3337">
        <v>1177</v>
      </c>
      <c r="AF6" s="3337">
        <v>2236.5</v>
      </c>
      <c r="AG6" s="3337">
        <v>3296</v>
      </c>
      <c r="AH6" s="3337">
        <v>3158</v>
      </c>
      <c r="AI6" s="3337">
        <v>4901</v>
      </c>
      <c r="AJ6" s="3337">
        <v>3664</v>
      </c>
      <c r="AK6" s="3337">
        <v>3532</v>
      </c>
      <c r="AL6" s="3337">
        <v>4094</v>
      </c>
      <c r="AM6" s="3338">
        <v>5688</v>
      </c>
      <c r="AN6" s="3339">
        <v>4126</v>
      </c>
      <c r="AO6" s="3340">
        <v>4096</v>
      </c>
      <c r="AP6" s="3340">
        <v>3069</v>
      </c>
      <c r="AQ6" s="3340">
        <v>2441</v>
      </c>
      <c r="AR6" s="3340">
        <v>3614</v>
      </c>
      <c r="AS6" s="3340">
        <v>4973</v>
      </c>
      <c r="AT6" s="3340">
        <v>4295</v>
      </c>
      <c r="AU6" s="3340">
        <v>3922</v>
      </c>
      <c r="AV6" s="3340">
        <v>3884</v>
      </c>
      <c r="AW6" s="3340">
        <v>4361</v>
      </c>
      <c r="AX6" s="3340">
        <v>3757</v>
      </c>
      <c r="AY6" s="3341">
        <v>4309</v>
      </c>
      <c r="AZ6" s="3342">
        <v>3744</v>
      </c>
      <c r="BA6" s="3342">
        <v>3244</v>
      </c>
      <c r="BB6" s="3342">
        <v>3052</v>
      </c>
      <c r="BC6" s="3342">
        <v>2818</v>
      </c>
      <c r="BD6" s="3342">
        <v>2629</v>
      </c>
      <c r="BE6" s="3342">
        <v>4974</v>
      </c>
      <c r="BF6" s="3342">
        <v>3543</v>
      </c>
      <c r="BG6" s="3342">
        <v>3098</v>
      </c>
      <c r="BH6" s="3342">
        <v>2495</v>
      </c>
      <c r="BI6" s="3342">
        <v>2223</v>
      </c>
      <c r="BJ6" s="3342">
        <v>2836</v>
      </c>
      <c r="BK6" s="3343">
        <v>3329</v>
      </c>
      <c r="BL6" s="3344">
        <v>5325</v>
      </c>
      <c r="BM6" s="3345">
        <v>3242</v>
      </c>
      <c r="BN6" s="3345">
        <v>2313</v>
      </c>
      <c r="BO6" s="3345">
        <v>1550</v>
      </c>
      <c r="BP6" s="3345">
        <v>1783</v>
      </c>
      <c r="BQ6" s="3345">
        <v>2956</v>
      </c>
      <c r="BR6" s="3345">
        <v>2188</v>
      </c>
      <c r="BS6" s="3345">
        <v>1977</v>
      </c>
      <c r="BT6" s="3346">
        <v>1675</v>
      </c>
      <c r="BU6" s="3346">
        <v>1300</v>
      </c>
      <c r="BV6" s="3346">
        <v>2993</v>
      </c>
      <c r="BW6" s="3347">
        <v>5640</v>
      </c>
      <c r="BX6" s="3348">
        <v>3618</v>
      </c>
      <c r="BY6" s="3273">
        <v>3340</v>
      </c>
      <c r="BZ6" s="3273">
        <v>2667</v>
      </c>
      <c r="CA6" s="3273">
        <v>2436</v>
      </c>
      <c r="CB6" s="3273">
        <v>3369</v>
      </c>
      <c r="CC6" s="3273">
        <v>5607</v>
      </c>
      <c r="CD6" s="3273">
        <v>3901</v>
      </c>
      <c r="CE6" s="3273">
        <v>3792</v>
      </c>
      <c r="CF6" s="3273">
        <v>3812</v>
      </c>
      <c r="CG6" s="3273">
        <v>3101</v>
      </c>
      <c r="CH6" s="3273">
        <v>3939</v>
      </c>
      <c r="CI6" s="3275">
        <v>7349</v>
      </c>
      <c r="CJ6" s="3349">
        <v>3947</v>
      </c>
      <c r="CK6" s="3350">
        <v>4481</v>
      </c>
      <c r="CL6" s="3350">
        <v>3791</v>
      </c>
      <c r="CM6" s="3350">
        <v>3116</v>
      </c>
      <c r="CN6" s="3350">
        <v>3597</v>
      </c>
      <c r="CO6" s="3350">
        <v>3912</v>
      </c>
      <c r="CP6" s="3350">
        <v>5548</v>
      </c>
      <c r="CQ6" s="3350">
        <v>3826</v>
      </c>
      <c r="CR6" s="3350">
        <v>3484</v>
      </c>
      <c r="CS6" s="3350">
        <v>4113</v>
      </c>
      <c r="CT6" s="3350">
        <v>4509</v>
      </c>
      <c r="CU6" s="3351">
        <v>9532</v>
      </c>
      <c r="CV6" s="3349">
        <v>4858</v>
      </c>
      <c r="CW6" s="3350">
        <v>5146</v>
      </c>
      <c r="CX6" s="3272">
        <v>4036</v>
      </c>
      <c r="CY6" s="3272">
        <v>3546</v>
      </c>
      <c r="CZ6" s="3272">
        <v>4120</v>
      </c>
      <c r="DA6" s="3272">
        <v>7490</v>
      </c>
      <c r="DB6" s="3272">
        <v>7418</v>
      </c>
      <c r="DC6" s="3272">
        <v>4723</v>
      </c>
      <c r="DD6" s="3272">
        <v>4463</v>
      </c>
      <c r="DE6" s="3272">
        <v>4758</v>
      </c>
      <c r="DF6" s="3272">
        <v>5286</v>
      </c>
      <c r="DG6" s="3351">
        <v>11022</v>
      </c>
      <c r="DH6" s="3352">
        <v>5764</v>
      </c>
      <c r="DI6" s="3353">
        <v>5469</v>
      </c>
      <c r="DJ6" s="3353">
        <v>4902</v>
      </c>
      <c r="DK6" s="3354">
        <v>3816</v>
      </c>
      <c r="DL6" s="3354">
        <v>4385</v>
      </c>
      <c r="DM6" s="3354">
        <v>7671</v>
      </c>
      <c r="DN6" s="3354">
        <v>7438</v>
      </c>
      <c r="DO6" s="3354">
        <v>5209</v>
      </c>
      <c r="DP6" s="2556">
        <v>4419</v>
      </c>
      <c r="DQ6" s="3354">
        <v>7124</v>
      </c>
      <c r="DR6" s="3354">
        <v>8072</v>
      </c>
      <c r="DS6" s="3355">
        <v>18166</v>
      </c>
      <c r="DT6" s="3356">
        <v>8337</v>
      </c>
      <c r="DU6" s="3243">
        <v>9615</v>
      </c>
      <c r="DV6" s="3243">
        <v>8824</v>
      </c>
      <c r="DW6" s="3164">
        <v>8982</v>
      </c>
      <c r="DX6" s="3164">
        <v>8939</v>
      </c>
      <c r="DY6" s="3164">
        <v>14373</v>
      </c>
      <c r="DZ6" s="3164">
        <v>14826</v>
      </c>
      <c r="EA6" s="3164">
        <v>10995</v>
      </c>
      <c r="EB6" s="3164">
        <v>9420</v>
      </c>
      <c r="EC6" s="3164">
        <v>9665</v>
      </c>
      <c r="ED6" s="3164">
        <v>10353</v>
      </c>
      <c r="EE6" s="3163">
        <v>22807</v>
      </c>
      <c r="EF6" s="2532">
        <v>10292</v>
      </c>
      <c r="EG6" s="2531">
        <v>11655</v>
      </c>
      <c r="EH6" s="2531">
        <v>10438</v>
      </c>
      <c r="EI6" s="2531">
        <v>8633</v>
      </c>
      <c r="EJ6" s="2531">
        <v>10488</v>
      </c>
      <c r="EK6" s="2531">
        <v>15641</v>
      </c>
      <c r="EL6" s="2531">
        <v>15616</v>
      </c>
      <c r="EM6" s="2557">
        <v>12823</v>
      </c>
      <c r="EN6" s="2557">
        <v>10573</v>
      </c>
      <c r="EO6" s="2558">
        <v>10536</v>
      </c>
      <c r="EP6" s="2558">
        <v>11647</v>
      </c>
      <c r="EQ6" s="2559">
        <v>23383</v>
      </c>
      <c r="ER6" s="1319">
        <v>10824</v>
      </c>
      <c r="ES6" s="3357">
        <v>11688</v>
      </c>
      <c r="ET6" s="3357">
        <v>9676</v>
      </c>
      <c r="EU6" s="2560">
        <v>8788</v>
      </c>
      <c r="EV6" s="2102">
        <v>8000</v>
      </c>
      <c r="EW6" s="2102"/>
      <c r="EX6" s="2102">
        <v>0</v>
      </c>
      <c r="EY6" s="2102">
        <v>0</v>
      </c>
      <c r="EZ6" s="2102">
        <v>0</v>
      </c>
      <c r="FA6" s="2273">
        <v>0</v>
      </c>
      <c r="FB6" s="2103"/>
      <c r="FC6" s="2103"/>
      <c r="FD6" s="2522"/>
      <c r="FE6" s="2277"/>
      <c r="FF6" s="2277"/>
      <c r="FG6" s="2277"/>
      <c r="FH6" s="2277"/>
      <c r="FI6" s="2277"/>
      <c r="FJ6" s="2277"/>
      <c r="FK6" s="2277"/>
      <c r="FL6" s="2277"/>
      <c r="FM6" s="2277"/>
      <c r="FN6" s="2277"/>
      <c r="FO6" s="2277"/>
      <c r="FP6" s="2524"/>
      <c r="FQ6" s="2523"/>
      <c r="FR6" s="2523"/>
      <c r="FS6" s="2523"/>
      <c r="FT6" s="2523"/>
      <c r="FU6" s="2523"/>
      <c r="FV6" s="2523"/>
      <c r="FW6" s="2523"/>
      <c r="FX6" s="2523"/>
      <c r="FY6" s="2523"/>
      <c r="FZ6" s="2523"/>
      <c r="GA6" s="2277"/>
      <c r="GB6" s="2522"/>
      <c r="GC6" s="2277"/>
      <c r="GD6" s="2277"/>
      <c r="GE6" s="2277"/>
      <c r="GF6" s="2277"/>
      <c r="GG6" s="2277"/>
      <c r="GH6" s="2277"/>
      <c r="GI6" s="2277"/>
      <c r="GJ6" s="2277"/>
      <c r="GK6" s="2277"/>
      <c r="GL6" s="2277"/>
      <c r="GM6" s="2523"/>
      <c r="GN6" s="2607"/>
      <c r="GO6" s="2754">
        <v>13229</v>
      </c>
      <c r="GP6" s="2755">
        <v>14899</v>
      </c>
      <c r="GQ6" s="2755">
        <v>17507</v>
      </c>
      <c r="GR6" s="2756">
        <v>13539</v>
      </c>
      <c r="GS6" s="2757">
        <v>10685</v>
      </c>
      <c r="GT6" s="2758">
        <v>7844</v>
      </c>
      <c r="GU6" s="2758">
        <v>6068</v>
      </c>
      <c r="GV6" s="2759">
        <v>5143</v>
      </c>
      <c r="GW6" s="2760">
        <v>5286</v>
      </c>
      <c r="GX6" s="2761">
        <v>6709.5</v>
      </c>
      <c r="GY6" s="2762">
        <v>11723</v>
      </c>
      <c r="GZ6" s="2762">
        <v>13314</v>
      </c>
      <c r="HA6" s="2763">
        <v>11291</v>
      </c>
      <c r="HB6" s="2764">
        <v>11028</v>
      </c>
      <c r="HC6" s="2764">
        <v>12101</v>
      </c>
      <c r="HD6" s="2765">
        <v>12427</v>
      </c>
      <c r="HE6" s="2766">
        <v>10040</v>
      </c>
      <c r="HF6" s="2767">
        <v>10421</v>
      </c>
      <c r="HG6" s="2767">
        <v>9136</v>
      </c>
      <c r="HH6" s="2768">
        <v>8388</v>
      </c>
      <c r="HI6" s="2764">
        <v>10880</v>
      </c>
      <c r="HJ6" s="2764">
        <v>6289</v>
      </c>
      <c r="HK6" s="2764">
        <v>5840</v>
      </c>
      <c r="HL6" s="2764">
        <v>9933</v>
      </c>
      <c r="HM6" s="2769">
        <v>9625</v>
      </c>
      <c r="HN6" s="2769">
        <v>11412</v>
      </c>
      <c r="HO6" s="2769">
        <v>11505</v>
      </c>
      <c r="HP6" s="2769">
        <v>14389</v>
      </c>
      <c r="HQ6" s="2770">
        <v>12219</v>
      </c>
      <c r="HR6" s="2770">
        <v>10625</v>
      </c>
      <c r="HS6" s="2770">
        <f>+CP6+CQ6+CR6</f>
        <v>12858</v>
      </c>
      <c r="HT6" s="2770">
        <v>18154</v>
      </c>
      <c r="HU6" s="2771">
        <v>14040</v>
      </c>
      <c r="HV6" s="2771">
        <f>+CY6+CZ6+DA6</f>
        <v>15156</v>
      </c>
      <c r="HW6" s="2771">
        <f>+DB6+DC6+DD6</f>
        <v>16604</v>
      </c>
      <c r="HX6" s="2770">
        <f>+DE6+DF6+DG6</f>
        <v>21066</v>
      </c>
      <c r="HY6" s="2689">
        <f>+DH6+DI6+DJ6</f>
        <v>16135</v>
      </c>
      <c r="HZ6" s="2689">
        <f>+DM6+DL6+DK6</f>
        <v>15872</v>
      </c>
      <c r="IA6" s="2689">
        <f>+DS6+DO6+DN6</f>
        <v>30813</v>
      </c>
      <c r="IB6" s="2689">
        <f>+DQ6+DR6+DS6</f>
        <v>33362</v>
      </c>
      <c r="IC6" s="2764">
        <f>+DT6+DU6+DV6</f>
        <v>26776</v>
      </c>
      <c r="ID6" s="2764">
        <f>+DW6+DX6+DY6</f>
        <v>32294</v>
      </c>
      <c r="IE6" s="2764">
        <f>+DZ6+EA6+EB6</f>
        <v>35241</v>
      </c>
      <c r="IF6" s="2764">
        <f>+EC6+ED6+EE6</f>
        <v>42825</v>
      </c>
      <c r="IG6" s="2772">
        <f>EF6+EG6+EH6</f>
        <v>32385</v>
      </c>
      <c r="IH6" s="2769">
        <f>EI6+EJ6+EK6</f>
        <v>34762</v>
      </c>
      <c r="II6" s="2769">
        <f>EL6+EM6+EN6</f>
        <v>39012</v>
      </c>
      <c r="IJ6" s="2769">
        <f>EO6+EP6+EQ6</f>
        <v>45566</v>
      </c>
      <c r="IK6" s="2773">
        <f>ER6+ES6+ET6</f>
        <v>32188</v>
      </c>
      <c r="IL6" s="2774">
        <f>EU6+EV6+EW6</f>
        <v>16788</v>
      </c>
      <c r="IM6" s="2774">
        <f>EX6+EY6+EZ6</f>
        <v>0</v>
      </c>
      <c r="IN6" s="2774">
        <f>FA6+FB6+FC6</f>
        <v>0</v>
      </c>
      <c r="IO6" s="2775"/>
      <c r="IP6" s="2776"/>
      <c r="IQ6" s="2776"/>
      <c r="IR6" s="2777"/>
      <c r="IS6" s="2775"/>
      <c r="IT6" s="2776"/>
      <c r="IU6" s="2776"/>
      <c r="IV6" s="2776"/>
      <c r="IW6" s="2775"/>
      <c r="IX6" s="2776"/>
      <c r="IY6" s="2776"/>
      <c r="IZ6" s="2777"/>
      <c r="JA6" s="3957"/>
      <c r="JB6" s="3358">
        <v>59174</v>
      </c>
      <c r="JC6" s="3359">
        <v>29740</v>
      </c>
      <c r="JD6" s="3359">
        <v>37032.5</v>
      </c>
      <c r="JE6" s="3359">
        <v>46847</v>
      </c>
      <c r="JF6" s="3359">
        <v>37985</v>
      </c>
      <c r="JG6" s="3359">
        <v>32942</v>
      </c>
      <c r="JH6" s="3360">
        <v>46931</v>
      </c>
      <c r="JI6" s="3361">
        <v>53856</v>
      </c>
      <c r="JJ6" s="3361">
        <f>SUM(CV6:DG6)</f>
        <v>66866</v>
      </c>
      <c r="JK6" s="3361">
        <f>SUM(DH6:DS6)</f>
        <v>82435</v>
      </c>
      <c r="JL6" s="3361">
        <f>SUM(DT6:EE6)</f>
        <v>137136</v>
      </c>
      <c r="JM6" s="3361">
        <f>SUM(EF6:EQ6)</f>
        <v>151725</v>
      </c>
      <c r="JN6" s="3362">
        <f t="shared" ref="JN6:JN34" si="0">SUM(ER6:FC6)</f>
        <v>48976</v>
      </c>
      <c r="JO6" s="3363">
        <f>SUM(FD6:FO6)</f>
        <v>0</v>
      </c>
      <c r="JP6" s="3364"/>
      <c r="JQ6" s="3813"/>
      <c r="JS6" s="4671"/>
      <c r="JT6" s="3578"/>
      <c r="JU6" s="2525"/>
      <c r="JV6" s="3365" t="e">
        <f>AVERAGE(JI6,JJ6,JK6,JL6,JM6,JN6,#REF!)</f>
        <v>#REF!</v>
      </c>
      <c r="JW6" s="3366">
        <f>JK6/$JK$39</f>
        <v>0.1313441444427095</v>
      </c>
      <c r="JX6" s="3366">
        <f>JL6/$JL$39</f>
        <v>0.21003138157018122</v>
      </c>
      <c r="JY6" s="3366">
        <f>JM6/$JN$39</f>
        <v>0.22085152838427949</v>
      </c>
      <c r="JZ6" s="3366">
        <f>JN6/$JN$39</f>
        <v>7.1289665211062586E-2</v>
      </c>
      <c r="KA6" s="3366" t="e">
        <f>#REF!/#REF!</f>
        <v>#REF!</v>
      </c>
      <c r="KB6" s="3366" t="e">
        <f>#REF!/#REF!</f>
        <v>#REF!</v>
      </c>
      <c r="KC6" s="4690" t="e">
        <f>#REF!/#REF!</f>
        <v>#REF!</v>
      </c>
      <c r="KD6" s="3366"/>
      <c r="KE6" s="3368">
        <f>JL6/JK6-1</f>
        <v>0.66356523321404737</v>
      </c>
      <c r="KF6" s="3369" t="e">
        <f>JV6/JK6-1</f>
        <v>#REF!</v>
      </c>
      <c r="KG6" s="3369">
        <f>JM6/JL6-1</f>
        <v>0.10638344417220869</v>
      </c>
      <c r="KH6" s="3369">
        <f>JN6/JM6-1</f>
        <v>-0.67720547042346357</v>
      </c>
      <c r="KI6" s="3369" t="e">
        <f>#REF!/#REF!-1</f>
        <v>#REF!</v>
      </c>
      <c r="KJ6" s="3368" t="e">
        <f>#REF!/#REF!-1</f>
        <v>#REF!</v>
      </c>
      <c r="KK6" s="3368" t="e">
        <f>#REF!/#REF!-1</f>
        <v>#REF!</v>
      </c>
      <c r="KL6" s="3813"/>
      <c r="KM6" s="3813"/>
      <c r="KN6" s="3045"/>
      <c r="KO6" s="3045"/>
      <c r="KP6" s="3045"/>
      <c r="KQ6" s="3045"/>
      <c r="KR6" s="3045"/>
      <c r="KS6" s="3045"/>
      <c r="KT6" s="3045"/>
      <c r="KU6" s="3045"/>
      <c r="KV6" s="3045"/>
      <c r="KW6" s="3045"/>
      <c r="KX6" s="3045"/>
      <c r="KY6" s="3045"/>
      <c r="KZ6" s="3045"/>
      <c r="LA6" s="3045"/>
      <c r="LB6" s="3045"/>
      <c r="LC6" s="3045"/>
      <c r="LD6" s="3045"/>
      <c r="LE6" s="3045"/>
      <c r="LF6" s="3045"/>
      <c r="LG6" s="3045"/>
      <c r="LH6" s="3045"/>
      <c r="LI6" s="3045"/>
      <c r="LJ6" s="3045"/>
      <c r="LK6" s="2525"/>
      <c r="LL6" s="2525"/>
      <c r="LM6" s="2525"/>
      <c r="LN6" s="2525"/>
      <c r="LO6" s="2525"/>
      <c r="LP6" s="2525"/>
      <c r="LQ6" s="2525"/>
      <c r="LR6" s="2525"/>
    </row>
    <row r="7" spans="1:330" ht="21.9" customHeight="1">
      <c r="A7" s="3372"/>
      <c r="B7" s="3328"/>
      <c r="C7" s="3373" t="s">
        <v>5</v>
      </c>
      <c r="D7" s="3330">
        <v>7760</v>
      </c>
      <c r="E7" s="3331">
        <v>7608</v>
      </c>
      <c r="F7" s="3331">
        <v>9828</v>
      </c>
      <c r="G7" s="3331">
        <v>7137</v>
      </c>
      <c r="H7" s="3331">
        <v>8490</v>
      </c>
      <c r="I7" s="3331">
        <v>14706</v>
      </c>
      <c r="J7" s="3331">
        <v>16146</v>
      </c>
      <c r="K7" s="3331">
        <v>12359</v>
      </c>
      <c r="L7" s="3331">
        <v>6638</v>
      </c>
      <c r="M7" s="3331">
        <v>7413</v>
      </c>
      <c r="N7" s="3331">
        <v>8563</v>
      </c>
      <c r="O7" s="3332">
        <v>11317</v>
      </c>
      <c r="P7" s="3333">
        <v>10075</v>
      </c>
      <c r="Q7" s="3334">
        <v>13044</v>
      </c>
      <c r="R7" s="3334">
        <v>11621</v>
      </c>
      <c r="S7" s="3334">
        <v>8418</v>
      </c>
      <c r="T7" s="3334">
        <v>11294</v>
      </c>
      <c r="U7" s="3334">
        <v>18034</v>
      </c>
      <c r="V7" s="3334">
        <v>16699</v>
      </c>
      <c r="W7" s="3334">
        <v>12325</v>
      </c>
      <c r="X7" s="3334">
        <v>7659</v>
      </c>
      <c r="Y7" s="3334">
        <v>7702</v>
      </c>
      <c r="Z7" s="3334">
        <v>8570</v>
      </c>
      <c r="AA7" s="3335">
        <v>11704</v>
      </c>
      <c r="AB7" s="3336">
        <v>9962</v>
      </c>
      <c r="AC7" s="3337">
        <v>9139</v>
      </c>
      <c r="AD7" s="3337">
        <v>10302</v>
      </c>
      <c r="AE7" s="3337">
        <v>8924</v>
      </c>
      <c r="AF7" s="3337">
        <v>12993</v>
      </c>
      <c r="AG7" s="3337">
        <v>17062</v>
      </c>
      <c r="AH7" s="3337">
        <v>16655</v>
      </c>
      <c r="AI7" s="3337">
        <v>11416</v>
      </c>
      <c r="AJ7" s="3337">
        <v>6635</v>
      </c>
      <c r="AK7" s="3337">
        <v>7211</v>
      </c>
      <c r="AL7" s="3337">
        <v>7598</v>
      </c>
      <c r="AM7" s="3338">
        <v>11858</v>
      </c>
      <c r="AN7" s="3339">
        <v>9232</v>
      </c>
      <c r="AO7" s="3340">
        <v>8487</v>
      </c>
      <c r="AP7" s="3340">
        <v>10219</v>
      </c>
      <c r="AQ7" s="3340">
        <v>7810</v>
      </c>
      <c r="AR7" s="3340">
        <v>10758</v>
      </c>
      <c r="AS7" s="3340">
        <v>15930</v>
      </c>
      <c r="AT7" s="3340">
        <v>15799</v>
      </c>
      <c r="AU7" s="3340">
        <v>10584</v>
      </c>
      <c r="AV7" s="3340">
        <v>6327</v>
      </c>
      <c r="AW7" s="3340">
        <v>7725</v>
      </c>
      <c r="AX7" s="3340">
        <v>7556</v>
      </c>
      <c r="AY7" s="3341">
        <v>11437</v>
      </c>
      <c r="AZ7" s="3277">
        <v>9093</v>
      </c>
      <c r="BA7" s="3277">
        <v>9118</v>
      </c>
      <c r="BB7" s="3277">
        <v>11492</v>
      </c>
      <c r="BC7" s="3277">
        <v>9029</v>
      </c>
      <c r="BD7" s="3277">
        <v>11497</v>
      </c>
      <c r="BE7" s="3277">
        <v>16581</v>
      </c>
      <c r="BF7" s="3277">
        <v>16087</v>
      </c>
      <c r="BG7" s="3277">
        <v>10842</v>
      </c>
      <c r="BH7" s="3277">
        <v>6954</v>
      </c>
      <c r="BI7" s="3277">
        <v>7874</v>
      </c>
      <c r="BJ7" s="3277">
        <v>8957</v>
      </c>
      <c r="BK7" s="3374">
        <v>12798</v>
      </c>
      <c r="BL7" s="3344">
        <v>9054</v>
      </c>
      <c r="BM7" s="3345">
        <v>8325</v>
      </c>
      <c r="BN7" s="3345">
        <v>11925</v>
      </c>
      <c r="BO7" s="3345">
        <v>9068</v>
      </c>
      <c r="BP7" s="3345">
        <v>11902</v>
      </c>
      <c r="BQ7" s="3345">
        <v>18638</v>
      </c>
      <c r="BR7" s="3345">
        <v>18162</v>
      </c>
      <c r="BS7" s="3345">
        <v>12296</v>
      </c>
      <c r="BT7" s="3346">
        <v>8393</v>
      </c>
      <c r="BU7" s="3346">
        <v>9607</v>
      </c>
      <c r="BV7" s="3346">
        <v>9130</v>
      </c>
      <c r="BW7" s="3347">
        <v>14125</v>
      </c>
      <c r="BX7" s="3348">
        <v>11222</v>
      </c>
      <c r="BY7" s="3273">
        <v>10182</v>
      </c>
      <c r="BZ7" s="3273">
        <v>12798</v>
      </c>
      <c r="CA7" s="3273">
        <v>8722</v>
      </c>
      <c r="CB7" s="3273">
        <v>11830</v>
      </c>
      <c r="CC7" s="3273">
        <v>18551</v>
      </c>
      <c r="CD7" s="3273">
        <v>17188</v>
      </c>
      <c r="CE7" s="3273">
        <v>11501</v>
      </c>
      <c r="CF7" s="3273">
        <v>8067</v>
      </c>
      <c r="CG7" s="3273">
        <v>9168</v>
      </c>
      <c r="CH7" s="3273">
        <v>8606</v>
      </c>
      <c r="CI7" s="3275">
        <v>13760</v>
      </c>
      <c r="CJ7" s="3349">
        <v>10287</v>
      </c>
      <c r="CK7" s="3350">
        <v>10836</v>
      </c>
      <c r="CL7" s="3350">
        <v>12287</v>
      </c>
      <c r="CM7" s="3350">
        <v>9534</v>
      </c>
      <c r="CN7" s="3350">
        <v>12241</v>
      </c>
      <c r="CO7" s="3350">
        <v>19418</v>
      </c>
      <c r="CP7" s="3350">
        <v>18361</v>
      </c>
      <c r="CQ7" s="3350">
        <v>11442</v>
      </c>
      <c r="CR7" s="3350">
        <v>7926</v>
      </c>
      <c r="CS7" s="3350">
        <v>9349</v>
      </c>
      <c r="CT7" s="3350">
        <v>9325</v>
      </c>
      <c r="CU7" s="3351">
        <v>16124</v>
      </c>
      <c r="CV7" s="3349">
        <v>13066</v>
      </c>
      <c r="CW7" s="3350">
        <v>11670</v>
      </c>
      <c r="CX7" s="3272">
        <v>13778</v>
      </c>
      <c r="CY7" s="3272">
        <v>10311</v>
      </c>
      <c r="CZ7" s="3272">
        <v>13333</v>
      </c>
      <c r="DA7" s="3272">
        <v>20663</v>
      </c>
      <c r="DB7" s="3272">
        <v>21177</v>
      </c>
      <c r="DC7" s="3272">
        <v>12790</v>
      </c>
      <c r="DD7" s="3272">
        <v>8295</v>
      </c>
      <c r="DE7" s="3272">
        <v>10454</v>
      </c>
      <c r="DF7" s="3272">
        <v>10526</v>
      </c>
      <c r="DG7" s="3351">
        <v>17781</v>
      </c>
      <c r="DH7" s="3352">
        <v>13010</v>
      </c>
      <c r="DI7" s="3353">
        <v>12991</v>
      </c>
      <c r="DJ7" s="3353">
        <v>16523</v>
      </c>
      <c r="DK7" s="3354">
        <v>11438</v>
      </c>
      <c r="DL7" s="3354">
        <v>14743</v>
      </c>
      <c r="DM7" s="3354">
        <v>22278</v>
      </c>
      <c r="DN7" s="3354">
        <v>20718</v>
      </c>
      <c r="DO7" s="3354">
        <v>12747</v>
      </c>
      <c r="DP7" s="2556">
        <v>8085</v>
      </c>
      <c r="DQ7" s="3354">
        <v>8608</v>
      </c>
      <c r="DR7" s="3354">
        <v>8458</v>
      </c>
      <c r="DS7" s="3355">
        <v>14249</v>
      </c>
      <c r="DT7" s="3356">
        <v>10839</v>
      </c>
      <c r="DU7" s="3243">
        <v>9438</v>
      </c>
      <c r="DV7" s="3243">
        <v>12542</v>
      </c>
      <c r="DW7" s="3164">
        <v>10543</v>
      </c>
      <c r="DX7" s="3164">
        <v>11258</v>
      </c>
      <c r="DY7" s="3164">
        <v>20272</v>
      </c>
      <c r="DZ7" s="3164">
        <v>17940</v>
      </c>
      <c r="EA7" s="3164">
        <v>10624</v>
      </c>
      <c r="EB7" s="3164">
        <v>7285</v>
      </c>
      <c r="EC7" s="3164">
        <v>7872</v>
      </c>
      <c r="ED7" s="3164">
        <v>8957</v>
      </c>
      <c r="EE7" s="3163">
        <v>14636</v>
      </c>
      <c r="EF7" s="2532">
        <v>11180</v>
      </c>
      <c r="EG7" s="2531">
        <v>10692</v>
      </c>
      <c r="EH7" s="2531">
        <v>15555</v>
      </c>
      <c r="EI7" s="2531">
        <v>9707</v>
      </c>
      <c r="EJ7" s="2531">
        <v>13514</v>
      </c>
      <c r="EK7" s="2531">
        <v>21285</v>
      </c>
      <c r="EL7" s="2531">
        <v>17119</v>
      </c>
      <c r="EM7" s="2557">
        <v>10772</v>
      </c>
      <c r="EN7" s="2557">
        <v>7523</v>
      </c>
      <c r="EO7" s="2558">
        <v>8091</v>
      </c>
      <c r="EP7" s="2558">
        <v>8887</v>
      </c>
      <c r="EQ7" s="2559">
        <v>14417</v>
      </c>
      <c r="ER7" s="1320">
        <v>11535</v>
      </c>
      <c r="ES7" s="3357">
        <v>10029</v>
      </c>
      <c r="ET7" s="3357">
        <v>13852</v>
      </c>
      <c r="EU7" s="2560">
        <v>10247</v>
      </c>
      <c r="EV7" s="2104">
        <f>18194-EV6</f>
        <v>10194</v>
      </c>
      <c r="EW7" s="2104">
        <f>27252-EW6</f>
        <v>27252</v>
      </c>
      <c r="EX7" s="2104">
        <v>24033</v>
      </c>
      <c r="EY7" s="2104">
        <v>16389</v>
      </c>
      <c r="EZ7" s="2104">
        <v>12076</v>
      </c>
      <c r="FA7" s="2275">
        <v>10654</v>
      </c>
      <c r="FB7" s="2275">
        <v>13694</v>
      </c>
      <c r="FC7" s="2275">
        <v>20560</v>
      </c>
      <c r="FD7" s="2608">
        <v>15918</v>
      </c>
      <c r="FE7" s="2609">
        <v>16475</v>
      </c>
      <c r="FF7" s="2609">
        <v>6730</v>
      </c>
      <c r="FG7" s="2609">
        <v>88</v>
      </c>
      <c r="FH7" s="2609">
        <v>146</v>
      </c>
      <c r="FI7" s="2609">
        <v>570</v>
      </c>
      <c r="FJ7" s="2609">
        <v>1194</v>
      </c>
      <c r="FK7" s="2609">
        <v>1377</v>
      </c>
      <c r="FL7" s="2609">
        <v>1707</v>
      </c>
      <c r="FM7" s="2609">
        <v>2600</v>
      </c>
      <c r="FN7" s="2609">
        <v>3904</v>
      </c>
      <c r="FO7" s="2610">
        <v>7006</v>
      </c>
      <c r="FP7" s="2611">
        <v>4279</v>
      </c>
      <c r="FQ7" s="2612">
        <v>3826</v>
      </c>
      <c r="FR7" s="2612">
        <v>5327</v>
      </c>
      <c r="FS7" s="2612">
        <v>5477</v>
      </c>
      <c r="FT7" s="2612">
        <v>6558</v>
      </c>
      <c r="FU7" s="2612">
        <v>10538</v>
      </c>
      <c r="FV7" s="2612">
        <v>12691</v>
      </c>
      <c r="FW7" s="2612">
        <v>10698</v>
      </c>
      <c r="FX7" s="2612">
        <v>8927</v>
      </c>
      <c r="FY7" s="2612">
        <v>10571</v>
      </c>
      <c r="FZ7" s="2612">
        <v>12816</v>
      </c>
      <c r="GA7" s="3965">
        <v>19423</v>
      </c>
      <c r="GB7" s="4656">
        <v>11586</v>
      </c>
      <c r="GC7" s="4657">
        <v>12561</v>
      </c>
      <c r="GD7" s="4657">
        <v>15174</v>
      </c>
      <c r="GE7" s="4657">
        <v>15672</v>
      </c>
      <c r="GF7" s="4657">
        <v>18024</v>
      </c>
      <c r="GG7" s="4657"/>
      <c r="GH7" s="4657"/>
      <c r="GI7" s="4657"/>
      <c r="GJ7" s="4657"/>
      <c r="GK7" s="4657"/>
      <c r="GL7" s="4657"/>
      <c r="GM7" s="4658"/>
      <c r="GN7" s="2607"/>
      <c r="GO7" s="2754">
        <v>25196</v>
      </c>
      <c r="GP7" s="2755">
        <v>30333</v>
      </c>
      <c r="GQ7" s="2755">
        <v>35143</v>
      </c>
      <c r="GR7" s="2756">
        <v>27293</v>
      </c>
      <c r="GS7" s="2757">
        <v>34740</v>
      </c>
      <c r="GT7" s="2758">
        <v>37746</v>
      </c>
      <c r="GU7" s="2758">
        <v>36683</v>
      </c>
      <c r="GV7" s="2759">
        <v>27976</v>
      </c>
      <c r="GW7" s="2760">
        <v>29403</v>
      </c>
      <c r="GX7" s="2761">
        <v>38979</v>
      </c>
      <c r="GY7" s="2762">
        <v>34706</v>
      </c>
      <c r="GZ7" s="2762">
        <v>26667</v>
      </c>
      <c r="HA7" s="2763">
        <v>27938</v>
      </c>
      <c r="HB7" s="2764">
        <v>34498</v>
      </c>
      <c r="HC7" s="2764">
        <v>32710</v>
      </c>
      <c r="HD7" s="2765">
        <v>26718</v>
      </c>
      <c r="HE7" s="2766">
        <v>29703</v>
      </c>
      <c r="HF7" s="2767">
        <v>37107</v>
      </c>
      <c r="HG7" s="2767">
        <v>33883</v>
      </c>
      <c r="HH7" s="2768">
        <v>29629</v>
      </c>
      <c r="HI7" s="2764">
        <v>29304</v>
      </c>
      <c r="HJ7" s="2764">
        <v>39608</v>
      </c>
      <c r="HK7" s="2764">
        <v>38851</v>
      </c>
      <c r="HL7" s="2764">
        <v>32862</v>
      </c>
      <c r="HM7" s="2769">
        <v>34202</v>
      </c>
      <c r="HN7" s="2769">
        <v>39103</v>
      </c>
      <c r="HO7" s="2769">
        <v>36756</v>
      </c>
      <c r="HP7" s="2769">
        <v>31534</v>
      </c>
      <c r="HQ7" s="2770">
        <v>33410</v>
      </c>
      <c r="HR7" s="2770">
        <v>41193</v>
      </c>
      <c r="HS7" s="2770">
        <f t="shared" ref="HS7:HS33" si="1">+CP7+CQ7+CR7</f>
        <v>37729</v>
      </c>
      <c r="HT7" s="2770">
        <v>34798</v>
      </c>
      <c r="HU7" s="2771">
        <v>38514</v>
      </c>
      <c r="HV7" s="2771">
        <f t="shared" ref="HV7:HV33" si="2">+CY7+CZ7+DA7</f>
        <v>44307</v>
      </c>
      <c r="HW7" s="2771">
        <f t="shared" ref="HW7:HW33" si="3">+DB7+DC7+DD7</f>
        <v>42262</v>
      </c>
      <c r="HX7" s="2770">
        <f t="shared" ref="HX7:HX33" si="4">+DE7+DF7+DG7</f>
        <v>38761</v>
      </c>
      <c r="HY7" s="2689">
        <f t="shared" ref="HY7:HY33" si="5">+DH7+DI7+DJ7</f>
        <v>42524</v>
      </c>
      <c r="HZ7" s="2689">
        <f t="shared" ref="HZ7:HZ33" si="6">+DM7+DL7+DK7</f>
        <v>48459</v>
      </c>
      <c r="IA7" s="2689">
        <f t="shared" ref="IA7:IA33" si="7">+DS7+DO7+DN7</f>
        <v>47714</v>
      </c>
      <c r="IB7" s="2689">
        <f t="shared" ref="IB7:IB33" si="8">+DQ7+DR7+DS7</f>
        <v>31315</v>
      </c>
      <c r="IC7" s="2764">
        <f t="shared" ref="IC7:IC33" si="9">+DT7+DU7+DV7</f>
        <v>32819</v>
      </c>
      <c r="ID7" s="2764">
        <f t="shared" ref="ID7:ID33" si="10">+DW7+DX7+DY7</f>
        <v>42073</v>
      </c>
      <c r="IE7" s="2764">
        <f t="shared" ref="IE7:IE33" si="11">+DZ7+EA7+EB7</f>
        <v>35849</v>
      </c>
      <c r="IF7" s="2764">
        <f t="shared" ref="IF7:IF33" si="12">+EC7+ED7+EE7</f>
        <v>31465</v>
      </c>
      <c r="IG7" s="2772">
        <f t="shared" ref="IG7:IG33" si="13">EF7+EG7+EH7</f>
        <v>37427</v>
      </c>
      <c r="IH7" s="2769">
        <f t="shared" ref="IH7:IH33" si="14">EI7+EJ7+EK7</f>
        <v>44506</v>
      </c>
      <c r="II7" s="2769">
        <f t="shared" ref="II7:II33" si="15">EL7+EM7+EN7</f>
        <v>35414</v>
      </c>
      <c r="IJ7" s="2769">
        <f t="shared" ref="IJ7:IJ33" si="16">EO7+EP7+EQ7</f>
        <v>31395</v>
      </c>
      <c r="IK7" s="2773">
        <f t="shared" ref="IK7:IK34" si="17">ER7+ES7+ET7</f>
        <v>35416</v>
      </c>
      <c r="IL7" s="2774">
        <f t="shared" ref="IL7:IL34" si="18">EU7+EV7+EW7</f>
        <v>47693</v>
      </c>
      <c r="IM7" s="2774">
        <f t="shared" ref="IM7:IM34" si="19">EX7+EY7+EZ7</f>
        <v>52498</v>
      </c>
      <c r="IN7" s="2774">
        <f t="shared" ref="IN7:IN34" si="20">FA7+FB7+FC7</f>
        <v>44908</v>
      </c>
      <c r="IO7" s="2775">
        <f t="shared" ref="IO7:IO34" si="21">FD7+FE7+FF7</f>
        <v>39123</v>
      </c>
      <c r="IP7" s="2776">
        <f t="shared" ref="IP7:IP33" si="22">FG7+FH7+FI7</f>
        <v>804</v>
      </c>
      <c r="IQ7" s="2776">
        <f t="shared" ref="IQ7:IQ14" si="23">EX7+EY7+EZ7</f>
        <v>52498</v>
      </c>
      <c r="IR7" s="2777">
        <f t="shared" ref="IR7:IR34" si="24">FM7+FN7+FO7</f>
        <v>13510</v>
      </c>
      <c r="IS7" s="2772">
        <f t="shared" ref="IS7:IS33" si="25">FP7+FQ7+FR7</f>
        <v>13432</v>
      </c>
      <c r="IT7" s="2769">
        <f t="shared" ref="IT7:IT33" si="26">FS7+FT7+FU7</f>
        <v>22573</v>
      </c>
      <c r="IU7" s="2769">
        <f t="shared" ref="IU7:IU33" si="27">FV7+FW7+FX7</f>
        <v>32316</v>
      </c>
      <c r="IV7" s="2769">
        <f t="shared" ref="IV7:IV34" si="28">FY7+FZ7+GA7</f>
        <v>42810</v>
      </c>
      <c r="IW7" s="3976">
        <f>GB7+GC7+GD7</f>
        <v>39321</v>
      </c>
      <c r="IX7" s="2764">
        <f>GE7+GF7+GG7</f>
        <v>33696</v>
      </c>
      <c r="IY7" s="2764">
        <f>GH7+GI7+GJ7</f>
        <v>0</v>
      </c>
      <c r="IZ7" s="3977">
        <f>GK7+GL7+GM7</f>
        <v>0</v>
      </c>
      <c r="JA7" s="3957"/>
      <c r="JB7" s="3358">
        <v>117965</v>
      </c>
      <c r="JC7" s="3359">
        <v>137145</v>
      </c>
      <c r="JD7" s="3359">
        <v>129755</v>
      </c>
      <c r="JE7" s="3359">
        <v>121864</v>
      </c>
      <c r="JF7" s="3359">
        <v>130322</v>
      </c>
      <c r="JG7" s="3359">
        <v>140625</v>
      </c>
      <c r="JH7" s="3360">
        <v>141595</v>
      </c>
      <c r="JI7" s="3361">
        <v>147130</v>
      </c>
      <c r="JJ7" s="3361">
        <f t="shared" ref="JJ7:JJ33" si="29">SUM(CV7:DG7)</f>
        <v>163844</v>
      </c>
      <c r="JK7" s="3361">
        <f t="shared" ref="JK7:JK33" si="30">SUM(DH7:DS7)</f>
        <v>163848</v>
      </c>
      <c r="JL7" s="3361">
        <f t="shared" ref="JL7:JL33" si="31">SUM(DT7:EE7)</f>
        <v>142206</v>
      </c>
      <c r="JM7" s="3375">
        <f t="shared" ref="JM7:JM33" si="32">SUM(EF7:EQ7)</f>
        <v>148742</v>
      </c>
      <c r="JN7" s="3376">
        <f t="shared" si="0"/>
        <v>180515</v>
      </c>
      <c r="JO7" s="3377">
        <f t="shared" ref="JO7:JO33" si="33">SUM(FD7:FO7)</f>
        <v>57715</v>
      </c>
      <c r="JP7" s="3378">
        <f>SUM(FP7:GA7)</f>
        <v>111131</v>
      </c>
      <c r="JQ7" s="3377">
        <f>SUM(FU7:GF7)</f>
        <v>158681</v>
      </c>
      <c r="JS7" s="4673">
        <f>SUM(FP7:FQ7)</f>
        <v>8105</v>
      </c>
      <c r="JT7" s="3579">
        <f>SUM(GB7:GM7)</f>
        <v>73017</v>
      </c>
      <c r="JU7" s="2525"/>
      <c r="JV7" s="3365">
        <f>AVERAGE(JO7:JQ7)</f>
        <v>109175.66666666667</v>
      </c>
      <c r="JW7" s="3366">
        <f t="shared" ref="JW7:JW33" si="34">JK7/$JK$39</f>
        <v>0.2610599305956095</v>
      </c>
      <c r="JX7" s="3366">
        <f t="shared" ref="JX7:JX33" si="35">JL7/$JL$39</f>
        <v>0.2177963674568982</v>
      </c>
      <c r="JY7" s="3366">
        <f>JM7/$JM$39</f>
        <v>0.2143092818559966</v>
      </c>
      <c r="JZ7" s="3366">
        <f t="shared" ref="JZ7:JZ34" si="36">JN7/$JN$39</f>
        <v>0.26275836972343525</v>
      </c>
      <c r="KA7" s="3366">
        <f t="shared" ref="KA7:KA33" si="37">JO7/$JO$39</f>
        <v>0.30237066142763591</v>
      </c>
      <c r="KB7" s="4687">
        <f t="shared" ref="KB7:KB37" si="38">JP7/$JP$39</f>
        <v>0.39548961551054107</v>
      </c>
      <c r="KC7" s="4691">
        <f>JQ7/$JQ$39</f>
        <v>0.33169729363637696</v>
      </c>
      <c r="KD7" s="3366"/>
      <c r="KE7" s="3368">
        <f t="shared" ref="KE7:KE33" si="39">JL7/JK7-1</f>
        <v>-0.13208583565255605</v>
      </c>
      <c r="KF7" s="3369">
        <f t="shared" ref="KF7:KF33" si="40">JV7/JK7-1</f>
        <v>-0.33367714792571979</v>
      </c>
      <c r="KG7" s="3369">
        <f t="shared" ref="KG7:KG33" si="41">JM7/JL7-1</f>
        <v>4.5961492482736288E-2</v>
      </c>
      <c r="KH7" s="3369">
        <f t="shared" ref="KH7:KH33" si="42">JN7/JM7-1</f>
        <v>0.21361148834895327</v>
      </c>
      <c r="KI7" s="3369">
        <f t="shared" ref="KI7:KI33" si="43">JO7/JN7-1</f>
        <v>-0.68027587735091266</v>
      </c>
      <c r="KJ7" s="3368">
        <f t="shared" ref="KJ7:KJ33" si="44">JP7/JN7-1</f>
        <v>-0.38436695011494892</v>
      </c>
      <c r="KK7" s="3369">
        <f>JP7/JO7-1</f>
        <v>0.9255132981027463</v>
      </c>
      <c r="KL7" s="4679">
        <f t="shared" ref="KL7:KL15" si="45">JQ7/JN7-1</f>
        <v>-0.12095393734592697</v>
      </c>
      <c r="KM7" s="4679">
        <f>JQ7/JP7-1</f>
        <v>0.42787341065949192</v>
      </c>
      <c r="KN7" s="3045"/>
      <c r="KO7" s="3045"/>
      <c r="KP7" s="3045"/>
      <c r="KQ7" s="3045"/>
      <c r="KR7" s="3045"/>
      <c r="KS7" s="3045"/>
      <c r="KT7" s="3045"/>
      <c r="KU7" s="3045"/>
      <c r="KV7" s="3045"/>
      <c r="KW7" s="3045"/>
      <c r="KX7" s="3045"/>
      <c r="KY7" s="3045"/>
      <c r="KZ7" s="3045"/>
      <c r="LA7" s="3045"/>
      <c r="LB7" s="3045"/>
      <c r="LC7" s="3045"/>
      <c r="LD7" s="3045"/>
      <c r="LE7" s="3045"/>
      <c r="LF7" s="3045"/>
      <c r="LG7" s="3045"/>
      <c r="LH7" s="3045"/>
      <c r="LI7" s="3045"/>
      <c r="LJ7" s="3045"/>
      <c r="LK7" s="2525"/>
      <c r="LL7" s="2525"/>
      <c r="LM7" s="2525"/>
      <c r="LN7" s="2525"/>
      <c r="LO7" s="2525"/>
      <c r="LP7" s="2525"/>
      <c r="LQ7" s="2525"/>
      <c r="LR7" s="2525"/>
    </row>
    <row r="8" spans="1:330" ht="21.9" customHeight="1">
      <c r="A8" s="3372"/>
      <c r="B8" s="3045"/>
      <c r="C8" s="3373" t="s">
        <v>7</v>
      </c>
      <c r="D8" s="3330">
        <v>1324</v>
      </c>
      <c r="E8" s="3331">
        <v>1555</v>
      </c>
      <c r="F8" s="3331">
        <v>1410</v>
      </c>
      <c r="G8" s="3331">
        <v>1429</v>
      </c>
      <c r="H8" s="3331">
        <v>1418</v>
      </c>
      <c r="I8" s="3331">
        <v>2607</v>
      </c>
      <c r="J8" s="3331">
        <v>2835</v>
      </c>
      <c r="K8" s="3331">
        <v>2685</v>
      </c>
      <c r="L8" s="3331">
        <v>2112</v>
      </c>
      <c r="M8" s="3331">
        <v>1839</v>
      </c>
      <c r="N8" s="3331">
        <v>2329</v>
      </c>
      <c r="O8" s="3332">
        <v>2088</v>
      </c>
      <c r="P8" s="3333">
        <v>1837</v>
      </c>
      <c r="Q8" s="3334">
        <v>2639</v>
      </c>
      <c r="R8" s="3334">
        <v>1865</v>
      </c>
      <c r="S8" s="3334">
        <v>1646</v>
      </c>
      <c r="T8" s="3334">
        <v>2039</v>
      </c>
      <c r="U8" s="3334">
        <v>3303</v>
      </c>
      <c r="V8" s="3334">
        <v>2996</v>
      </c>
      <c r="W8" s="3334">
        <v>3169</v>
      </c>
      <c r="X8" s="3334">
        <v>2100</v>
      </c>
      <c r="Y8" s="3334">
        <v>1903</v>
      </c>
      <c r="Z8" s="3334">
        <v>2662</v>
      </c>
      <c r="AA8" s="3335">
        <v>1902</v>
      </c>
      <c r="AB8" s="3336">
        <v>2189</v>
      </c>
      <c r="AC8" s="3337">
        <v>2306</v>
      </c>
      <c r="AD8" s="3337">
        <v>2100</v>
      </c>
      <c r="AE8" s="3337">
        <v>2003</v>
      </c>
      <c r="AF8" s="3337">
        <v>3328</v>
      </c>
      <c r="AG8" s="3337">
        <v>4653</v>
      </c>
      <c r="AH8" s="3337">
        <v>3137</v>
      </c>
      <c r="AI8" s="3337">
        <v>3497</v>
      </c>
      <c r="AJ8" s="3337">
        <v>2351</v>
      </c>
      <c r="AK8" s="3337">
        <v>2125</v>
      </c>
      <c r="AL8" s="3337">
        <v>2575</v>
      </c>
      <c r="AM8" s="3338">
        <v>2250</v>
      </c>
      <c r="AN8" s="3339">
        <v>2074</v>
      </c>
      <c r="AO8" s="3340">
        <v>2222</v>
      </c>
      <c r="AP8" s="3340">
        <v>2157</v>
      </c>
      <c r="AQ8" s="3340">
        <v>1650</v>
      </c>
      <c r="AR8" s="3340">
        <v>2169</v>
      </c>
      <c r="AS8" s="3340">
        <v>4211</v>
      </c>
      <c r="AT8" s="3340">
        <v>3416</v>
      </c>
      <c r="AU8" s="3340">
        <v>3730</v>
      </c>
      <c r="AV8" s="3340">
        <v>2638</v>
      </c>
      <c r="AW8" s="3340">
        <v>2451</v>
      </c>
      <c r="AX8" s="3340">
        <v>2709</v>
      </c>
      <c r="AY8" s="3341">
        <v>2407</v>
      </c>
      <c r="AZ8" s="3277">
        <v>2245</v>
      </c>
      <c r="BA8" s="3277">
        <v>2360</v>
      </c>
      <c r="BB8" s="3277">
        <v>1994</v>
      </c>
      <c r="BC8" s="3277">
        <v>2054</v>
      </c>
      <c r="BD8" s="3277">
        <v>1974</v>
      </c>
      <c r="BE8" s="3277">
        <v>4580</v>
      </c>
      <c r="BF8" s="3277">
        <v>3668</v>
      </c>
      <c r="BG8" s="3277">
        <v>3797</v>
      </c>
      <c r="BH8" s="3277">
        <v>2808</v>
      </c>
      <c r="BI8" s="3277">
        <v>2386</v>
      </c>
      <c r="BJ8" s="3277">
        <v>2699</v>
      </c>
      <c r="BK8" s="3374">
        <v>2363</v>
      </c>
      <c r="BL8" s="3344">
        <v>2062</v>
      </c>
      <c r="BM8" s="3345">
        <v>2453</v>
      </c>
      <c r="BN8" s="3345">
        <v>2219</v>
      </c>
      <c r="BO8" s="3345">
        <v>2379</v>
      </c>
      <c r="BP8" s="3345">
        <v>2483</v>
      </c>
      <c r="BQ8" s="3345">
        <v>4629</v>
      </c>
      <c r="BR8" s="3345">
        <v>3352</v>
      </c>
      <c r="BS8" s="3345">
        <v>3785</v>
      </c>
      <c r="BT8" s="3346">
        <v>3170</v>
      </c>
      <c r="BU8" s="3346">
        <v>2516</v>
      </c>
      <c r="BV8" s="3346">
        <v>2627</v>
      </c>
      <c r="BW8" s="3347">
        <v>2343</v>
      </c>
      <c r="BX8" s="3348">
        <v>2275</v>
      </c>
      <c r="BY8" s="3273">
        <v>2408</v>
      </c>
      <c r="BZ8" s="3273">
        <v>2259</v>
      </c>
      <c r="CA8" s="3273">
        <v>2051</v>
      </c>
      <c r="CB8" s="3273">
        <v>2962</v>
      </c>
      <c r="CC8" s="3273">
        <v>4633</v>
      </c>
      <c r="CD8" s="3273">
        <v>3650</v>
      </c>
      <c r="CE8" s="3273">
        <v>3942</v>
      </c>
      <c r="CF8" s="3273">
        <v>3578</v>
      </c>
      <c r="CG8" s="3273">
        <v>2866</v>
      </c>
      <c r="CH8" s="3273">
        <v>3622</v>
      </c>
      <c r="CI8" s="3275">
        <v>3262</v>
      </c>
      <c r="CJ8" s="3349">
        <v>4693</v>
      </c>
      <c r="CK8" s="3350">
        <v>3329</v>
      </c>
      <c r="CL8" s="3350">
        <v>3172</v>
      </c>
      <c r="CM8" s="3350">
        <v>2855</v>
      </c>
      <c r="CN8" s="3350">
        <v>3070</v>
      </c>
      <c r="CO8" s="3350">
        <v>1437</v>
      </c>
      <c r="CP8" s="3350">
        <v>4812</v>
      </c>
      <c r="CQ8" s="3350">
        <v>4547</v>
      </c>
      <c r="CR8" s="3350">
        <v>3616</v>
      </c>
      <c r="CS8" s="3350">
        <v>3498</v>
      </c>
      <c r="CT8" s="3350">
        <v>3618</v>
      </c>
      <c r="CU8" s="3351">
        <v>3484</v>
      </c>
      <c r="CV8" s="3349">
        <v>3113</v>
      </c>
      <c r="CW8" s="3350">
        <v>3325</v>
      </c>
      <c r="CX8" s="3272">
        <v>3195</v>
      </c>
      <c r="CY8" s="3272">
        <v>2623</v>
      </c>
      <c r="CZ8" s="3272">
        <v>3137</v>
      </c>
      <c r="DA8" s="3272">
        <v>5235</v>
      </c>
      <c r="DB8" s="3272">
        <v>4766</v>
      </c>
      <c r="DC8" s="3272">
        <v>4153</v>
      </c>
      <c r="DD8" s="3272">
        <v>3633</v>
      </c>
      <c r="DE8" s="3272">
        <v>3383</v>
      </c>
      <c r="DF8" s="3272">
        <v>3320</v>
      </c>
      <c r="DG8" s="3351">
        <v>3878</v>
      </c>
      <c r="DH8" s="3352">
        <v>2964</v>
      </c>
      <c r="DI8" s="3353">
        <v>3137</v>
      </c>
      <c r="DJ8" s="3353">
        <v>3077</v>
      </c>
      <c r="DK8" s="3354">
        <v>2577</v>
      </c>
      <c r="DL8" s="3354">
        <v>2847</v>
      </c>
      <c r="DM8" s="3354">
        <v>5765</v>
      </c>
      <c r="DN8" s="3354">
        <v>4826</v>
      </c>
      <c r="DO8" s="3354">
        <v>4045</v>
      </c>
      <c r="DP8" s="2556">
        <v>2741</v>
      </c>
      <c r="DQ8" s="3354">
        <v>2404</v>
      </c>
      <c r="DR8" s="3354">
        <v>2367</v>
      </c>
      <c r="DS8" s="3355">
        <v>2423</v>
      </c>
      <c r="DT8" s="3356">
        <v>1937</v>
      </c>
      <c r="DU8" s="3243">
        <v>1872</v>
      </c>
      <c r="DV8" s="3243">
        <v>1901</v>
      </c>
      <c r="DW8" s="3164">
        <v>2061</v>
      </c>
      <c r="DX8" s="3164">
        <v>1740</v>
      </c>
      <c r="DY8" s="3164">
        <v>3360</v>
      </c>
      <c r="DZ8" s="3164">
        <v>2960</v>
      </c>
      <c r="EA8" s="3164">
        <v>2392</v>
      </c>
      <c r="EB8" s="3164">
        <v>2217</v>
      </c>
      <c r="EC8" s="3164">
        <v>2173</v>
      </c>
      <c r="ED8" s="3164">
        <v>2397</v>
      </c>
      <c r="EE8" s="3163">
        <v>2655</v>
      </c>
      <c r="EF8" s="2532">
        <v>2327</v>
      </c>
      <c r="EG8" s="2531">
        <v>2245</v>
      </c>
      <c r="EH8" s="2531">
        <v>2500</v>
      </c>
      <c r="EI8" s="2531">
        <v>2062</v>
      </c>
      <c r="EJ8" s="2531">
        <v>2145</v>
      </c>
      <c r="EK8" s="2531">
        <v>3948</v>
      </c>
      <c r="EL8" s="2531">
        <v>3670</v>
      </c>
      <c r="EM8" s="2557">
        <v>3213</v>
      </c>
      <c r="EN8" s="2557">
        <v>2579</v>
      </c>
      <c r="EO8" s="2558">
        <v>2489</v>
      </c>
      <c r="EP8" s="2558">
        <v>2626</v>
      </c>
      <c r="EQ8" s="2559">
        <v>2981</v>
      </c>
      <c r="ER8" s="1320">
        <v>1985</v>
      </c>
      <c r="ES8" s="3357">
        <v>2280</v>
      </c>
      <c r="ET8" s="3357">
        <v>2141</v>
      </c>
      <c r="EU8" s="2560">
        <v>2248</v>
      </c>
      <c r="EV8" s="2104">
        <v>4117</v>
      </c>
      <c r="EW8" s="2104">
        <v>7279</v>
      </c>
      <c r="EX8" s="2104">
        <v>8646</v>
      </c>
      <c r="EY8" s="2104">
        <v>7778</v>
      </c>
      <c r="EZ8" s="2104">
        <v>6031</v>
      </c>
      <c r="FA8" s="2275">
        <v>4476</v>
      </c>
      <c r="FB8" s="2275">
        <v>5469</v>
      </c>
      <c r="FC8" s="2275">
        <v>7951</v>
      </c>
      <c r="FD8" s="2615">
        <v>4895</v>
      </c>
      <c r="FE8" s="2616">
        <v>5061</v>
      </c>
      <c r="FF8" s="2616">
        <v>1744</v>
      </c>
      <c r="FG8" s="2616">
        <v>42</v>
      </c>
      <c r="FH8" s="2616">
        <v>49</v>
      </c>
      <c r="FI8" s="2616">
        <v>94</v>
      </c>
      <c r="FJ8" s="2616">
        <v>976</v>
      </c>
      <c r="FK8" s="2616">
        <v>912</v>
      </c>
      <c r="FL8" s="2616">
        <v>1188</v>
      </c>
      <c r="FM8" s="2616">
        <v>1364</v>
      </c>
      <c r="FN8" s="2616">
        <v>1646</v>
      </c>
      <c r="FO8" s="2617">
        <v>2750</v>
      </c>
      <c r="FP8" s="2615">
        <v>1919</v>
      </c>
      <c r="FQ8" s="2616">
        <v>1570</v>
      </c>
      <c r="FR8" s="2616">
        <v>2021</v>
      </c>
      <c r="FS8" s="2616">
        <v>1576</v>
      </c>
      <c r="FT8" s="2616">
        <v>1611</v>
      </c>
      <c r="FU8" s="2616">
        <v>3149</v>
      </c>
      <c r="FV8" s="2616">
        <v>5451</v>
      </c>
      <c r="FW8" s="2616">
        <v>4538</v>
      </c>
      <c r="FX8" s="2616">
        <v>3430</v>
      </c>
      <c r="FY8" s="2616">
        <v>3922</v>
      </c>
      <c r="FZ8" s="2616">
        <v>4089</v>
      </c>
      <c r="GA8" s="2617">
        <v>5191</v>
      </c>
      <c r="GB8" s="4656">
        <v>3671</v>
      </c>
      <c r="GC8" s="4657">
        <v>4524</v>
      </c>
      <c r="GD8" s="4657">
        <v>3794</v>
      </c>
      <c r="GE8" s="4657">
        <v>3676</v>
      </c>
      <c r="GF8" s="4657">
        <v>3605</v>
      </c>
      <c r="GG8" s="4657"/>
      <c r="GH8" s="4657"/>
      <c r="GI8" s="4657"/>
      <c r="GJ8" s="4657"/>
      <c r="GK8" s="4657"/>
      <c r="GL8" s="4657"/>
      <c r="GM8" s="4658"/>
      <c r="GN8" s="2607"/>
      <c r="GO8" s="2754">
        <v>4289</v>
      </c>
      <c r="GP8" s="2755">
        <v>5454</v>
      </c>
      <c r="GQ8" s="2755">
        <v>7632</v>
      </c>
      <c r="GR8" s="2756">
        <v>6256</v>
      </c>
      <c r="GS8" s="2757">
        <v>6341</v>
      </c>
      <c r="GT8" s="2758">
        <v>6988</v>
      </c>
      <c r="GU8" s="2758">
        <v>8265</v>
      </c>
      <c r="GV8" s="2759">
        <v>6467</v>
      </c>
      <c r="GW8" s="2760">
        <v>6595</v>
      </c>
      <c r="GX8" s="2761">
        <v>9984</v>
      </c>
      <c r="GY8" s="2762">
        <v>8985</v>
      </c>
      <c r="GZ8" s="2762">
        <v>6950</v>
      </c>
      <c r="HA8" s="2763">
        <v>6453</v>
      </c>
      <c r="HB8" s="2764">
        <v>8030</v>
      </c>
      <c r="HC8" s="2764">
        <v>9784</v>
      </c>
      <c r="HD8" s="2765">
        <v>7567</v>
      </c>
      <c r="HE8" s="2766">
        <v>6599</v>
      </c>
      <c r="HF8" s="2767">
        <v>8608</v>
      </c>
      <c r="HG8" s="2767">
        <v>10273</v>
      </c>
      <c r="HH8" s="2768">
        <v>7448</v>
      </c>
      <c r="HI8" s="2764">
        <v>6734</v>
      </c>
      <c r="HJ8" s="2764">
        <v>9491</v>
      </c>
      <c r="HK8" s="2764">
        <v>10307</v>
      </c>
      <c r="HL8" s="2764">
        <v>7486</v>
      </c>
      <c r="HM8" s="2769">
        <v>6942</v>
      </c>
      <c r="HN8" s="2769">
        <v>9646</v>
      </c>
      <c r="HO8" s="2769">
        <v>11170</v>
      </c>
      <c r="HP8" s="2769">
        <v>9750</v>
      </c>
      <c r="HQ8" s="2770">
        <v>11194</v>
      </c>
      <c r="HR8" s="2770">
        <v>7362</v>
      </c>
      <c r="HS8" s="2770">
        <f t="shared" si="1"/>
        <v>12975</v>
      </c>
      <c r="HT8" s="2770">
        <v>10600</v>
      </c>
      <c r="HU8" s="2771">
        <v>9633</v>
      </c>
      <c r="HV8" s="2771">
        <f t="shared" si="2"/>
        <v>10995</v>
      </c>
      <c r="HW8" s="2771">
        <f t="shared" si="3"/>
        <v>12552</v>
      </c>
      <c r="HX8" s="2770">
        <f t="shared" si="4"/>
        <v>10581</v>
      </c>
      <c r="HY8" s="2689">
        <f t="shared" si="5"/>
        <v>9178</v>
      </c>
      <c r="HZ8" s="2689">
        <f t="shared" si="6"/>
        <v>11189</v>
      </c>
      <c r="IA8" s="2689">
        <f t="shared" si="7"/>
        <v>11294</v>
      </c>
      <c r="IB8" s="2689">
        <f t="shared" si="8"/>
        <v>7194</v>
      </c>
      <c r="IC8" s="2764">
        <f t="shared" si="9"/>
        <v>5710</v>
      </c>
      <c r="ID8" s="2764">
        <f t="shared" si="10"/>
        <v>7161</v>
      </c>
      <c r="IE8" s="2764">
        <f t="shared" si="11"/>
        <v>7569</v>
      </c>
      <c r="IF8" s="2764">
        <f t="shared" si="12"/>
        <v>7225</v>
      </c>
      <c r="IG8" s="2772">
        <f t="shared" si="13"/>
        <v>7072</v>
      </c>
      <c r="IH8" s="2769">
        <f t="shared" si="14"/>
        <v>8155</v>
      </c>
      <c r="II8" s="2769">
        <f t="shared" si="15"/>
        <v>9462</v>
      </c>
      <c r="IJ8" s="2769">
        <f t="shared" si="16"/>
        <v>8096</v>
      </c>
      <c r="IK8" s="2773">
        <f t="shared" si="17"/>
        <v>6406</v>
      </c>
      <c r="IL8" s="2774">
        <f t="shared" si="18"/>
        <v>13644</v>
      </c>
      <c r="IM8" s="2774">
        <f t="shared" si="19"/>
        <v>22455</v>
      </c>
      <c r="IN8" s="2774">
        <f t="shared" si="20"/>
        <v>17896</v>
      </c>
      <c r="IO8" s="2775">
        <f t="shared" si="21"/>
        <v>11700</v>
      </c>
      <c r="IP8" s="2776">
        <f t="shared" si="22"/>
        <v>185</v>
      </c>
      <c r="IQ8" s="2776">
        <f t="shared" si="23"/>
        <v>22455</v>
      </c>
      <c r="IR8" s="2777">
        <f t="shared" si="24"/>
        <v>5760</v>
      </c>
      <c r="IS8" s="2772">
        <f t="shared" si="25"/>
        <v>5510</v>
      </c>
      <c r="IT8" s="2769">
        <f t="shared" si="26"/>
        <v>6336</v>
      </c>
      <c r="IU8" s="2769">
        <f t="shared" si="27"/>
        <v>13419</v>
      </c>
      <c r="IV8" s="2769">
        <f t="shared" si="28"/>
        <v>13202</v>
      </c>
      <c r="IW8" s="3976">
        <f t="shared" ref="IW8:IW38" si="46">GB8+GC8+GD8</f>
        <v>11989</v>
      </c>
      <c r="IX8" s="2764">
        <f t="shared" ref="IX8:IX38" si="47">GE8+GF8+GG8</f>
        <v>7281</v>
      </c>
      <c r="IY8" s="2764">
        <f t="shared" ref="IY8:IY38" si="48">GH8+GI8+GJ8</f>
        <v>0</v>
      </c>
      <c r="IZ8" s="3977">
        <f t="shared" ref="IZ8:IZ38" si="49">GK8+GL8+GM8</f>
        <v>0</v>
      </c>
      <c r="JA8" s="3957"/>
      <c r="JB8" s="3358">
        <v>23631</v>
      </c>
      <c r="JC8" s="3359">
        <v>28061</v>
      </c>
      <c r="JD8" s="3359">
        <v>32514</v>
      </c>
      <c r="JE8" s="3359">
        <v>31834</v>
      </c>
      <c r="JF8" s="3359">
        <v>32928</v>
      </c>
      <c r="JG8" s="3359">
        <v>34018</v>
      </c>
      <c r="JH8" s="3360">
        <v>37508</v>
      </c>
      <c r="JI8" s="3361">
        <v>42131</v>
      </c>
      <c r="JJ8" s="3361">
        <f t="shared" si="29"/>
        <v>43761</v>
      </c>
      <c r="JK8" s="3361">
        <f t="shared" si="30"/>
        <v>39173</v>
      </c>
      <c r="JL8" s="3361">
        <f t="shared" si="31"/>
        <v>27665</v>
      </c>
      <c r="JM8" s="3361">
        <f t="shared" si="32"/>
        <v>32785</v>
      </c>
      <c r="JN8" s="3362">
        <f t="shared" si="0"/>
        <v>60401</v>
      </c>
      <c r="JO8" s="3380">
        <f t="shared" si="33"/>
        <v>20721</v>
      </c>
      <c r="JP8" s="3378">
        <f t="shared" ref="JP8:JP38" si="50">SUM(FP8:GA8)</f>
        <v>38467</v>
      </c>
      <c r="JQ8" s="3377">
        <f t="shared" ref="JQ8:JQ37" si="51">SUM(FU8:GF8)</f>
        <v>49040</v>
      </c>
      <c r="JS8" s="4673">
        <f t="shared" ref="JS8:JS39" si="52">SUM(FP8:FQ8)</f>
        <v>3489</v>
      </c>
      <c r="JT8" s="3579">
        <f t="shared" ref="JT8:JT37" si="53">SUM(GB8:GM8)</f>
        <v>19270</v>
      </c>
      <c r="JU8" s="2525"/>
      <c r="JV8" s="3365">
        <f t="shared" ref="JV8:JV39" si="54">AVERAGE(JO8:JQ8)</f>
        <v>36076</v>
      </c>
      <c r="JW8" s="3366">
        <f t="shared" si="34"/>
        <v>6.2414558988952019E-2</v>
      </c>
      <c r="JX8" s="3366">
        <f t="shared" si="35"/>
        <v>4.2370480188565103E-2</v>
      </c>
      <c r="JY8" s="3366">
        <f t="shared" ref="JY8:JY33" si="55">JM8/$JN$39</f>
        <v>4.772197962154294E-2</v>
      </c>
      <c r="JZ8" s="3366">
        <f t="shared" si="36"/>
        <v>8.7919941775836966E-2</v>
      </c>
      <c r="KA8" s="3366">
        <f t="shared" si="37"/>
        <v>0.10855795677799607</v>
      </c>
      <c r="KB8" s="4688">
        <f t="shared" si="38"/>
        <v>0.13689518712010135</v>
      </c>
      <c r="KC8" s="4691">
        <f t="shared" ref="KC8:KC38" si="56">JQ8/$JQ$39</f>
        <v>0.1025102897002661</v>
      </c>
      <c r="KD8" s="3366"/>
      <c r="KE8" s="3368">
        <f t="shared" si="39"/>
        <v>-0.29377377275164018</v>
      </c>
      <c r="KF8" s="3369">
        <f t="shared" si="40"/>
        <v>-7.9059556327061964E-2</v>
      </c>
      <c r="KG8" s="3369">
        <f t="shared" si="41"/>
        <v>0.18507138984276161</v>
      </c>
      <c r="KH8" s="3369">
        <f t="shared" si="42"/>
        <v>0.84233643434497485</v>
      </c>
      <c r="KI8" s="3369">
        <f t="shared" si="43"/>
        <v>-0.65694276584824762</v>
      </c>
      <c r="KJ8" s="3368">
        <f t="shared" si="44"/>
        <v>-0.36313968311782918</v>
      </c>
      <c r="KK8" s="3369">
        <f t="shared" ref="KK8:KK38" si="57">IF(JO8="","",JP8/JO8-1)</f>
        <v>0.85642584817335066</v>
      </c>
      <c r="KL8" s="4678">
        <f t="shared" si="45"/>
        <v>-0.1880929123690005</v>
      </c>
      <c r="KM8" s="4678">
        <f t="shared" ref="KM8:KM39" si="58">JQ8/JP8-1</f>
        <v>0.27485897002625626</v>
      </c>
      <c r="KN8" s="3045"/>
      <c r="KO8" s="3045"/>
      <c r="KP8" s="3045"/>
      <c r="KQ8" s="3045"/>
      <c r="KR8" s="3045"/>
      <c r="KS8" s="3045"/>
      <c r="KT8" s="3045"/>
      <c r="KU8" s="3045"/>
      <c r="KV8" s="3045"/>
      <c r="KW8" s="3045"/>
      <c r="KX8" s="3045"/>
      <c r="KY8" s="3045"/>
      <c r="KZ8" s="3045"/>
      <c r="LA8" s="3045"/>
      <c r="LB8" s="3045"/>
      <c r="LC8" s="3045"/>
      <c r="LD8" s="3045"/>
      <c r="LE8" s="3045"/>
      <c r="LF8" s="3045"/>
      <c r="LG8" s="3045"/>
      <c r="LH8" s="3045"/>
      <c r="LI8" s="3045"/>
      <c r="LJ8" s="3045"/>
      <c r="LK8" s="2525"/>
      <c r="LL8" s="2525"/>
      <c r="LM8" s="2525"/>
      <c r="LN8" s="2525"/>
      <c r="LO8" s="2525"/>
      <c r="LP8" s="2525"/>
      <c r="LQ8" s="2525"/>
      <c r="LR8" s="2525"/>
    </row>
    <row r="9" spans="1:330" ht="21.9" customHeight="1">
      <c r="A9" s="3372"/>
      <c r="B9" s="3045"/>
      <c r="C9" s="3373" t="s">
        <v>6</v>
      </c>
      <c r="D9" s="3330">
        <v>3612</v>
      </c>
      <c r="E9" s="3331">
        <v>3116</v>
      </c>
      <c r="F9" s="3331">
        <v>3978</v>
      </c>
      <c r="G9" s="3331">
        <v>3576</v>
      </c>
      <c r="H9" s="3331">
        <v>3473</v>
      </c>
      <c r="I9" s="3331">
        <v>4582</v>
      </c>
      <c r="J9" s="3331">
        <v>4498</v>
      </c>
      <c r="K9" s="3331">
        <v>4352</v>
      </c>
      <c r="L9" s="3331">
        <v>3527</v>
      </c>
      <c r="M9" s="3331">
        <v>4205</v>
      </c>
      <c r="N9" s="3331">
        <v>3971</v>
      </c>
      <c r="O9" s="3332">
        <v>4158</v>
      </c>
      <c r="P9" s="3333">
        <v>4338</v>
      </c>
      <c r="Q9" s="3334">
        <v>5058</v>
      </c>
      <c r="R9" s="3334">
        <v>3960</v>
      </c>
      <c r="S9" s="3334">
        <v>3703</v>
      </c>
      <c r="T9" s="3334">
        <v>3953</v>
      </c>
      <c r="U9" s="3334">
        <v>4572</v>
      </c>
      <c r="V9" s="3334">
        <v>4180</v>
      </c>
      <c r="W9" s="3334">
        <v>4336</v>
      </c>
      <c r="X9" s="3334">
        <v>4204</v>
      </c>
      <c r="Y9" s="3334">
        <v>4674</v>
      </c>
      <c r="Z9" s="3334">
        <v>4854</v>
      </c>
      <c r="AA9" s="3335">
        <v>4274</v>
      </c>
      <c r="AB9" s="3336">
        <v>4073</v>
      </c>
      <c r="AC9" s="3337">
        <v>2886</v>
      </c>
      <c r="AD9" s="3337">
        <v>3369</v>
      </c>
      <c r="AE9" s="3337">
        <v>3480</v>
      </c>
      <c r="AF9" s="3337">
        <v>3860</v>
      </c>
      <c r="AG9" s="3337">
        <v>4240</v>
      </c>
      <c r="AH9" s="3337">
        <v>3540</v>
      </c>
      <c r="AI9" s="3337">
        <v>3377</v>
      </c>
      <c r="AJ9" s="3337">
        <v>3115</v>
      </c>
      <c r="AK9" s="3337">
        <v>3286</v>
      </c>
      <c r="AL9" s="3337">
        <v>3811</v>
      </c>
      <c r="AM9" s="3338">
        <v>4393</v>
      </c>
      <c r="AN9" s="3339">
        <v>4213</v>
      </c>
      <c r="AO9" s="3340">
        <v>5082</v>
      </c>
      <c r="AP9" s="3340">
        <v>4528</v>
      </c>
      <c r="AQ9" s="3340">
        <v>3869</v>
      </c>
      <c r="AR9" s="3340">
        <v>4155</v>
      </c>
      <c r="AS9" s="3340">
        <v>4580</v>
      </c>
      <c r="AT9" s="3340">
        <v>3726</v>
      </c>
      <c r="AU9" s="3340">
        <v>4284</v>
      </c>
      <c r="AV9" s="3340">
        <v>4206</v>
      </c>
      <c r="AW9" s="3340">
        <v>3205</v>
      </c>
      <c r="AX9" s="3340">
        <v>4265</v>
      </c>
      <c r="AY9" s="3341">
        <v>5299</v>
      </c>
      <c r="AZ9" s="3277">
        <v>4599</v>
      </c>
      <c r="BA9" s="3277">
        <v>4035</v>
      </c>
      <c r="BB9" s="3277">
        <v>4283</v>
      </c>
      <c r="BC9" s="3277">
        <v>4324</v>
      </c>
      <c r="BD9" s="3277">
        <v>4000</v>
      </c>
      <c r="BE9" s="3277">
        <v>4403</v>
      </c>
      <c r="BF9" s="3277">
        <v>4279</v>
      </c>
      <c r="BG9" s="3277">
        <v>4167</v>
      </c>
      <c r="BH9" s="3277">
        <v>3958</v>
      </c>
      <c r="BI9" s="3277">
        <v>4138</v>
      </c>
      <c r="BJ9" s="3277">
        <v>4519</v>
      </c>
      <c r="BK9" s="3374">
        <v>5404</v>
      </c>
      <c r="BL9" s="3344">
        <v>4222</v>
      </c>
      <c r="BM9" s="3345">
        <v>3651</v>
      </c>
      <c r="BN9" s="3345">
        <v>5058</v>
      </c>
      <c r="BO9" s="3345">
        <v>5339</v>
      </c>
      <c r="BP9" s="3345">
        <v>5273</v>
      </c>
      <c r="BQ9" s="3345">
        <v>7476</v>
      </c>
      <c r="BR9" s="3345">
        <v>6425</v>
      </c>
      <c r="BS9" s="3345">
        <v>5246</v>
      </c>
      <c r="BT9" s="3346">
        <v>5162</v>
      </c>
      <c r="BU9" s="3346">
        <v>6180</v>
      </c>
      <c r="BV9" s="3346">
        <v>5649</v>
      </c>
      <c r="BW9" s="3347">
        <v>7785</v>
      </c>
      <c r="BX9" s="3348">
        <v>6627</v>
      </c>
      <c r="BY9" s="3273">
        <v>4735</v>
      </c>
      <c r="BZ9" s="3273">
        <v>6020</v>
      </c>
      <c r="CA9" s="3273">
        <v>4853</v>
      </c>
      <c r="CB9" s="3273">
        <v>5241</v>
      </c>
      <c r="CC9" s="3273">
        <v>6297</v>
      </c>
      <c r="CD9" s="3273">
        <v>6066</v>
      </c>
      <c r="CE9" s="3273">
        <v>4747</v>
      </c>
      <c r="CF9" s="3273">
        <v>5233</v>
      </c>
      <c r="CG9" s="3273">
        <v>5182</v>
      </c>
      <c r="CH9" s="3273">
        <v>5169</v>
      </c>
      <c r="CI9" s="3275">
        <v>7563</v>
      </c>
      <c r="CJ9" s="3349">
        <v>6453</v>
      </c>
      <c r="CK9" s="3350">
        <v>6126</v>
      </c>
      <c r="CL9" s="3350">
        <v>4727</v>
      </c>
      <c r="CM9" s="3350">
        <v>6021</v>
      </c>
      <c r="CN9" s="3350">
        <v>5531</v>
      </c>
      <c r="CO9" s="3350">
        <v>6575</v>
      </c>
      <c r="CP9" s="3350">
        <v>5999</v>
      </c>
      <c r="CQ9" s="3350">
        <v>4680</v>
      </c>
      <c r="CR9" s="3350">
        <v>5649</v>
      </c>
      <c r="CS9" s="3350">
        <v>5721</v>
      </c>
      <c r="CT9" s="3350">
        <v>5569</v>
      </c>
      <c r="CU9" s="3351">
        <v>8371</v>
      </c>
      <c r="CV9" s="3349">
        <v>6640</v>
      </c>
      <c r="CW9" s="3350">
        <v>4736</v>
      </c>
      <c r="CX9" s="3272">
        <v>5948</v>
      </c>
      <c r="CY9" s="3272">
        <v>4689</v>
      </c>
      <c r="CZ9" s="3272">
        <v>4319</v>
      </c>
      <c r="DA9" s="3272">
        <v>4879</v>
      </c>
      <c r="DB9" s="3272">
        <v>4752</v>
      </c>
      <c r="DC9" s="3272">
        <v>3500</v>
      </c>
      <c r="DD9" s="3272">
        <v>4127</v>
      </c>
      <c r="DE9" s="3272">
        <v>4183</v>
      </c>
      <c r="DF9" s="3272">
        <v>4285</v>
      </c>
      <c r="DG9" s="3351">
        <v>4830</v>
      </c>
      <c r="DH9" s="3352">
        <v>4076</v>
      </c>
      <c r="DI9" s="3353">
        <v>3914</v>
      </c>
      <c r="DJ9" s="3353">
        <v>4490</v>
      </c>
      <c r="DK9" s="3354">
        <v>3335</v>
      </c>
      <c r="DL9" s="3354">
        <v>3996</v>
      </c>
      <c r="DM9" s="3354">
        <v>4670</v>
      </c>
      <c r="DN9" s="3354">
        <v>5537</v>
      </c>
      <c r="DO9" s="3354">
        <v>4018</v>
      </c>
      <c r="DP9" s="2556">
        <v>4519</v>
      </c>
      <c r="DQ9" s="3354">
        <v>5595</v>
      </c>
      <c r="DR9" s="3354">
        <v>4741</v>
      </c>
      <c r="DS9" s="3355">
        <v>6269</v>
      </c>
      <c r="DT9" s="3356">
        <v>5134</v>
      </c>
      <c r="DU9" s="3243">
        <v>3872</v>
      </c>
      <c r="DV9" s="3243">
        <v>5370</v>
      </c>
      <c r="DW9" s="3164">
        <v>4990</v>
      </c>
      <c r="DX9" s="3164">
        <v>3983</v>
      </c>
      <c r="DY9" s="3164">
        <v>5374</v>
      </c>
      <c r="DZ9" s="3164">
        <v>4853</v>
      </c>
      <c r="EA9" s="3164">
        <v>3383</v>
      </c>
      <c r="EB9" s="3164">
        <v>3872</v>
      </c>
      <c r="EC9" s="3164">
        <v>4508</v>
      </c>
      <c r="ED9" s="3164">
        <v>4726</v>
      </c>
      <c r="EE9" s="3163">
        <v>5220</v>
      </c>
      <c r="EF9" s="2532">
        <v>4683</v>
      </c>
      <c r="EG9" s="2531">
        <v>3861</v>
      </c>
      <c r="EH9" s="2531">
        <v>4441</v>
      </c>
      <c r="EI9" s="2531">
        <v>4400</v>
      </c>
      <c r="EJ9" s="2531">
        <v>4233</v>
      </c>
      <c r="EK9" s="2531">
        <v>5316</v>
      </c>
      <c r="EL9" s="2531">
        <v>5022</v>
      </c>
      <c r="EM9" s="2557">
        <v>3702</v>
      </c>
      <c r="EN9" s="2557">
        <v>4846</v>
      </c>
      <c r="EO9" s="2558">
        <v>5051</v>
      </c>
      <c r="EP9" s="2558">
        <v>4639</v>
      </c>
      <c r="EQ9" s="2559">
        <v>5112</v>
      </c>
      <c r="ER9" s="1320">
        <v>4089</v>
      </c>
      <c r="ES9" s="3357">
        <v>3965</v>
      </c>
      <c r="ET9" s="3357">
        <v>4027</v>
      </c>
      <c r="EU9" s="2560">
        <v>4474</v>
      </c>
      <c r="EV9" s="2104">
        <v>5071</v>
      </c>
      <c r="EW9" s="2104">
        <v>5044</v>
      </c>
      <c r="EX9" s="2104">
        <v>5286</v>
      </c>
      <c r="EY9" s="2104">
        <v>4513</v>
      </c>
      <c r="EZ9" s="2104">
        <v>5430</v>
      </c>
      <c r="FA9" s="2275">
        <v>4227</v>
      </c>
      <c r="FB9" s="2275">
        <v>5428</v>
      </c>
      <c r="FC9" s="2275">
        <v>6113</v>
      </c>
      <c r="FD9" s="2608">
        <v>5961</v>
      </c>
      <c r="FE9" s="2609">
        <v>4733</v>
      </c>
      <c r="FF9" s="2609">
        <v>2174</v>
      </c>
      <c r="FG9" s="2609">
        <v>32</v>
      </c>
      <c r="FH9" s="2609">
        <v>56</v>
      </c>
      <c r="FI9" s="2609">
        <v>99</v>
      </c>
      <c r="FJ9" s="2609">
        <v>201</v>
      </c>
      <c r="FK9" s="2609">
        <v>218</v>
      </c>
      <c r="FL9" s="2609">
        <v>423</v>
      </c>
      <c r="FM9" s="2609">
        <v>1349</v>
      </c>
      <c r="FN9" s="2609">
        <v>1549</v>
      </c>
      <c r="FO9" s="2610">
        <v>1964</v>
      </c>
      <c r="FP9" s="2608">
        <v>1992</v>
      </c>
      <c r="FQ9" s="2609">
        <v>1420</v>
      </c>
      <c r="FR9" s="2609">
        <v>1870</v>
      </c>
      <c r="FS9" s="2609">
        <v>1490</v>
      </c>
      <c r="FT9" s="2609">
        <v>1777</v>
      </c>
      <c r="FU9" s="2609">
        <v>2396</v>
      </c>
      <c r="FV9" s="2609">
        <v>2533</v>
      </c>
      <c r="FW9" s="2609">
        <v>2862</v>
      </c>
      <c r="FX9" s="2609">
        <v>3007</v>
      </c>
      <c r="FY9" s="2609">
        <v>3362</v>
      </c>
      <c r="FZ9" s="2609">
        <v>4088</v>
      </c>
      <c r="GA9" s="2610">
        <v>3991</v>
      </c>
      <c r="GB9" s="4656">
        <v>3358</v>
      </c>
      <c r="GC9" s="4657">
        <v>3077</v>
      </c>
      <c r="GD9" s="4657">
        <v>3977</v>
      </c>
      <c r="GE9" s="4657">
        <v>4584</v>
      </c>
      <c r="GF9" s="4657">
        <v>4540</v>
      </c>
      <c r="GG9" s="4657"/>
      <c r="GH9" s="4657"/>
      <c r="GI9" s="4657"/>
      <c r="GJ9" s="4657"/>
      <c r="GK9" s="4657"/>
      <c r="GL9" s="4657"/>
      <c r="GM9" s="4658"/>
      <c r="GN9" s="2607"/>
      <c r="GO9" s="2754">
        <v>10706</v>
      </c>
      <c r="GP9" s="2755">
        <v>11631</v>
      </c>
      <c r="GQ9" s="2755">
        <v>12377</v>
      </c>
      <c r="GR9" s="2756">
        <v>12334</v>
      </c>
      <c r="GS9" s="2757">
        <v>13356</v>
      </c>
      <c r="GT9" s="2758">
        <v>12228</v>
      </c>
      <c r="GU9" s="2758">
        <v>12720</v>
      </c>
      <c r="GV9" s="2759">
        <v>13802</v>
      </c>
      <c r="GW9" s="2760">
        <v>10328</v>
      </c>
      <c r="GX9" s="2761">
        <v>11580</v>
      </c>
      <c r="GY9" s="2762">
        <v>10032</v>
      </c>
      <c r="GZ9" s="2762">
        <v>11490</v>
      </c>
      <c r="HA9" s="2763">
        <v>13823</v>
      </c>
      <c r="HB9" s="2764">
        <v>12604</v>
      </c>
      <c r="HC9" s="2764">
        <v>12216</v>
      </c>
      <c r="HD9" s="2765">
        <v>12769</v>
      </c>
      <c r="HE9" s="2766">
        <v>12917</v>
      </c>
      <c r="HF9" s="2767">
        <v>12727</v>
      </c>
      <c r="HG9" s="2767">
        <v>12404</v>
      </c>
      <c r="HH9" s="2768">
        <v>14061</v>
      </c>
      <c r="HI9" s="2764">
        <v>12931</v>
      </c>
      <c r="HJ9" s="2764">
        <v>18088</v>
      </c>
      <c r="HK9" s="2764">
        <v>16833</v>
      </c>
      <c r="HL9" s="2764">
        <v>19614</v>
      </c>
      <c r="HM9" s="2769">
        <v>17382</v>
      </c>
      <c r="HN9" s="2769">
        <v>16391</v>
      </c>
      <c r="HO9" s="2769">
        <v>16046</v>
      </c>
      <c r="HP9" s="2769">
        <v>17914</v>
      </c>
      <c r="HQ9" s="2770">
        <v>17306</v>
      </c>
      <c r="HR9" s="2770">
        <v>18127</v>
      </c>
      <c r="HS9" s="2770">
        <f t="shared" si="1"/>
        <v>16328</v>
      </c>
      <c r="HT9" s="2770">
        <v>19661</v>
      </c>
      <c r="HU9" s="2771">
        <v>17324</v>
      </c>
      <c r="HV9" s="2771">
        <f t="shared" si="2"/>
        <v>13887</v>
      </c>
      <c r="HW9" s="2771">
        <f t="shared" si="3"/>
        <v>12379</v>
      </c>
      <c r="HX9" s="2770">
        <f t="shared" si="4"/>
        <v>13298</v>
      </c>
      <c r="HY9" s="2689">
        <f t="shared" si="5"/>
        <v>12480</v>
      </c>
      <c r="HZ9" s="2689">
        <f t="shared" si="6"/>
        <v>12001</v>
      </c>
      <c r="IA9" s="2689">
        <f t="shared" si="7"/>
        <v>15824</v>
      </c>
      <c r="IB9" s="2689">
        <f t="shared" si="8"/>
        <v>16605</v>
      </c>
      <c r="IC9" s="2764">
        <f t="shared" si="9"/>
        <v>14376</v>
      </c>
      <c r="ID9" s="2764">
        <f t="shared" si="10"/>
        <v>14347</v>
      </c>
      <c r="IE9" s="2764">
        <f t="shared" si="11"/>
        <v>12108</v>
      </c>
      <c r="IF9" s="2764">
        <f t="shared" si="12"/>
        <v>14454</v>
      </c>
      <c r="IG9" s="2772">
        <f t="shared" si="13"/>
        <v>12985</v>
      </c>
      <c r="IH9" s="2769">
        <f t="shared" si="14"/>
        <v>13949</v>
      </c>
      <c r="II9" s="2769">
        <f t="shared" si="15"/>
        <v>13570</v>
      </c>
      <c r="IJ9" s="2769">
        <f t="shared" si="16"/>
        <v>14802</v>
      </c>
      <c r="IK9" s="2773">
        <f t="shared" si="17"/>
        <v>12081</v>
      </c>
      <c r="IL9" s="2774">
        <f t="shared" si="18"/>
        <v>14589</v>
      </c>
      <c r="IM9" s="2774">
        <f t="shared" si="19"/>
        <v>15229</v>
      </c>
      <c r="IN9" s="2774">
        <f t="shared" si="20"/>
        <v>15768</v>
      </c>
      <c r="IO9" s="2775">
        <f t="shared" si="21"/>
        <v>12868</v>
      </c>
      <c r="IP9" s="2776">
        <f t="shared" si="22"/>
        <v>187</v>
      </c>
      <c r="IQ9" s="2776">
        <f t="shared" si="23"/>
        <v>15229</v>
      </c>
      <c r="IR9" s="2777">
        <f t="shared" si="24"/>
        <v>4862</v>
      </c>
      <c r="IS9" s="2772">
        <f t="shared" si="25"/>
        <v>5282</v>
      </c>
      <c r="IT9" s="2769">
        <f t="shared" si="26"/>
        <v>5663</v>
      </c>
      <c r="IU9" s="2769">
        <f t="shared" si="27"/>
        <v>8402</v>
      </c>
      <c r="IV9" s="2769">
        <f t="shared" si="28"/>
        <v>11441</v>
      </c>
      <c r="IW9" s="3976">
        <f t="shared" si="46"/>
        <v>10412</v>
      </c>
      <c r="IX9" s="2764">
        <f t="shared" si="47"/>
        <v>9124</v>
      </c>
      <c r="IY9" s="2764">
        <f t="shared" si="48"/>
        <v>0</v>
      </c>
      <c r="IZ9" s="3977">
        <f t="shared" si="49"/>
        <v>0</v>
      </c>
      <c r="JA9" s="3957"/>
      <c r="JB9" s="3358">
        <v>47048</v>
      </c>
      <c r="JC9" s="3359">
        <v>52106</v>
      </c>
      <c r="JD9" s="3359">
        <v>43430</v>
      </c>
      <c r="JE9" s="3359">
        <v>51412</v>
      </c>
      <c r="JF9" s="3359">
        <v>52109</v>
      </c>
      <c r="JG9" s="3359">
        <v>67466</v>
      </c>
      <c r="JH9" s="3360">
        <v>67733</v>
      </c>
      <c r="JI9" s="3361">
        <v>71422</v>
      </c>
      <c r="JJ9" s="3361">
        <f t="shared" si="29"/>
        <v>56888</v>
      </c>
      <c r="JK9" s="3361">
        <f t="shared" si="30"/>
        <v>55160</v>
      </c>
      <c r="JL9" s="3361">
        <f t="shared" si="31"/>
        <v>55285</v>
      </c>
      <c r="JM9" s="3361">
        <f t="shared" si="32"/>
        <v>55306</v>
      </c>
      <c r="JN9" s="3362">
        <f t="shared" si="0"/>
        <v>57667</v>
      </c>
      <c r="JO9" s="3380">
        <f t="shared" si="33"/>
        <v>18759</v>
      </c>
      <c r="JP9" s="3378">
        <f t="shared" si="50"/>
        <v>30788</v>
      </c>
      <c r="JQ9" s="3377">
        <f t="shared" si="51"/>
        <v>41775</v>
      </c>
      <c r="JS9" s="4673">
        <f t="shared" si="52"/>
        <v>3412</v>
      </c>
      <c r="JT9" s="3579">
        <f t="shared" si="53"/>
        <v>19536</v>
      </c>
      <c r="JU9" s="2525"/>
      <c r="JV9" s="3365">
        <f t="shared" si="54"/>
        <v>30440.666666666668</v>
      </c>
      <c r="JW9" s="3366">
        <f t="shared" si="34"/>
        <v>8.7886735093829771E-2</v>
      </c>
      <c r="JX9" s="3366">
        <f t="shared" si="35"/>
        <v>8.4672040384052835E-2</v>
      </c>
      <c r="JY9" s="3366">
        <f t="shared" si="55"/>
        <v>8.0503639010189226E-2</v>
      </c>
      <c r="JZ9" s="3366">
        <f t="shared" si="36"/>
        <v>8.3940320232896645E-2</v>
      </c>
      <c r="KA9" s="3366">
        <f t="shared" si="37"/>
        <v>9.8278978388998031E-2</v>
      </c>
      <c r="KB9" s="4688">
        <f t="shared" si="38"/>
        <v>0.10956739597716693</v>
      </c>
      <c r="KC9" s="4691">
        <f t="shared" si="56"/>
        <v>8.7323967215102286E-2</v>
      </c>
      <c r="KD9" s="3366"/>
      <c r="KE9" s="3368">
        <f t="shared" si="39"/>
        <v>2.266134880348103E-3</v>
      </c>
      <c r="KF9" s="3369">
        <f t="shared" si="40"/>
        <v>-0.44813874788494079</v>
      </c>
      <c r="KG9" s="3369">
        <f t="shared" si="41"/>
        <v>3.7984986886141492E-4</v>
      </c>
      <c r="KH9" s="3369">
        <f t="shared" si="42"/>
        <v>4.2689762412758014E-2</v>
      </c>
      <c r="KI9" s="3369">
        <f t="shared" si="43"/>
        <v>-0.67470130230461089</v>
      </c>
      <c r="KJ9" s="3368">
        <f t="shared" si="44"/>
        <v>-0.46610713232871481</v>
      </c>
      <c r="KK9" s="3369">
        <f t="shared" si="57"/>
        <v>0.64123887200810281</v>
      </c>
      <c r="KL9" s="4678">
        <f t="shared" si="45"/>
        <v>-0.27558222206808058</v>
      </c>
      <c r="KM9" s="4678">
        <f t="shared" si="58"/>
        <v>0.35685981551253732</v>
      </c>
      <c r="KN9" s="3045"/>
      <c r="KO9" s="3045"/>
      <c r="KP9" s="3045"/>
      <c r="KQ9" s="3045"/>
      <c r="KR9" s="3045"/>
      <c r="KS9" s="3045"/>
      <c r="KT9" s="3045"/>
      <c r="KU9" s="3045"/>
      <c r="KV9" s="3045"/>
      <c r="KW9" s="3045"/>
      <c r="KX9" s="3045"/>
      <c r="KY9" s="3045"/>
      <c r="KZ9" s="3045"/>
      <c r="LA9" s="3045"/>
      <c r="LB9" s="3045"/>
      <c r="LC9" s="3045"/>
      <c r="LD9" s="3045"/>
      <c r="LE9" s="3045"/>
      <c r="LF9" s="3045"/>
      <c r="LG9" s="3045"/>
      <c r="LH9" s="3045"/>
      <c r="LI9" s="3045"/>
      <c r="LJ9" s="3045"/>
      <c r="LK9" s="2525"/>
      <c r="LL9" s="2525"/>
      <c r="LM9" s="2525"/>
      <c r="LN9" s="2525"/>
      <c r="LO9" s="2525"/>
      <c r="LP9" s="2525"/>
      <c r="LQ9" s="2525"/>
      <c r="LR9" s="2525"/>
    </row>
    <row r="10" spans="1:330" ht="24" customHeight="1">
      <c r="A10" s="3372"/>
      <c r="B10" s="3045"/>
      <c r="C10" s="3373" t="s">
        <v>15</v>
      </c>
      <c r="D10" s="3330">
        <v>342</v>
      </c>
      <c r="E10" s="3331">
        <v>325</v>
      </c>
      <c r="F10" s="3331">
        <v>440</v>
      </c>
      <c r="G10" s="3331">
        <v>392</v>
      </c>
      <c r="H10" s="3331">
        <v>377</v>
      </c>
      <c r="I10" s="3331">
        <v>432</v>
      </c>
      <c r="J10" s="3331">
        <v>744</v>
      </c>
      <c r="K10" s="3331">
        <v>705</v>
      </c>
      <c r="L10" s="3331">
        <v>586</v>
      </c>
      <c r="M10" s="3331">
        <v>717</v>
      </c>
      <c r="N10" s="3331">
        <v>686</v>
      </c>
      <c r="O10" s="3332">
        <v>372</v>
      </c>
      <c r="P10" s="3333">
        <v>410</v>
      </c>
      <c r="Q10" s="3334">
        <v>574</v>
      </c>
      <c r="R10" s="3334">
        <v>487</v>
      </c>
      <c r="S10" s="3334">
        <v>479</v>
      </c>
      <c r="T10" s="3334">
        <v>793</v>
      </c>
      <c r="U10" s="3334">
        <v>734</v>
      </c>
      <c r="V10" s="3334">
        <v>771</v>
      </c>
      <c r="W10" s="3334">
        <v>700</v>
      </c>
      <c r="X10" s="3334">
        <v>748</v>
      </c>
      <c r="Y10" s="3334">
        <v>982</v>
      </c>
      <c r="Z10" s="3334">
        <v>878</v>
      </c>
      <c r="AA10" s="3335">
        <v>637</v>
      </c>
      <c r="AB10" s="3336">
        <v>523</v>
      </c>
      <c r="AC10" s="3337">
        <v>468</v>
      </c>
      <c r="AD10" s="3337">
        <v>576</v>
      </c>
      <c r="AE10" s="3337">
        <v>748</v>
      </c>
      <c r="AF10" s="3337">
        <v>686.5</v>
      </c>
      <c r="AG10" s="3337">
        <v>625</v>
      </c>
      <c r="AH10" s="3337">
        <v>812</v>
      </c>
      <c r="AI10" s="3337">
        <v>649</v>
      </c>
      <c r="AJ10" s="3337">
        <v>789</v>
      </c>
      <c r="AK10" s="3337">
        <v>775</v>
      </c>
      <c r="AL10" s="3337">
        <v>715</v>
      </c>
      <c r="AM10" s="3338">
        <v>854</v>
      </c>
      <c r="AN10" s="3339">
        <v>597</v>
      </c>
      <c r="AO10" s="3340">
        <v>512</v>
      </c>
      <c r="AP10" s="3340">
        <v>746</v>
      </c>
      <c r="AQ10" s="3340">
        <v>803</v>
      </c>
      <c r="AR10" s="3340">
        <v>767</v>
      </c>
      <c r="AS10" s="3340">
        <v>836</v>
      </c>
      <c r="AT10" s="3340">
        <v>966</v>
      </c>
      <c r="AU10" s="3340">
        <v>923</v>
      </c>
      <c r="AV10" s="3340">
        <v>647</v>
      </c>
      <c r="AW10" s="3340">
        <v>940</v>
      </c>
      <c r="AX10" s="3340">
        <v>839</v>
      </c>
      <c r="AY10" s="3341">
        <v>742</v>
      </c>
      <c r="AZ10" s="3277">
        <v>640</v>
      </c>
      <c r="BA10" s="3277">
        <v>651</v>
      </c>
      <c r="BB10" s="3277">
        <v>859</v>
      </c>
      <c r="BC10" s="3277">
        <v>1037</v>
      </c>
      <c r="BD10" s="3277">
        <v>1051</v>
      </c>
      <c r="BE10" s="3277">
        <v>1180</v>
      </c>
      <c r="BF10" s="3277">
        <v>1219</v>
      </c>
      <c r="BG10" s="3277">
        <v>1102</v>
      </c>
      <c r="BH10" s="3277">
        <v>841</v>
      </c>
      <c r="BI10" s="3277">
        <v>1028</v>
      </c>
      <c r="BJ10" s="3277">
        <v>1132</v>
      </c>
      <c r="BK10" s="3374">
        <v>930</v>
      </c>
      <c r="BL10" s="3344">
        <v>131</v>
      </c>
      <c r="BM10" s="3345">
        <v>779</v>
      </c>
      <c r="BN10" s="3345">
        <v>894</v>
      </c>
      <c r="BO10" s="3345">
        <v>942</v>
      </c>
      <c r="BP10" s="3345">
        <v>1059</v>
      </c>
      <c r="BQ10" s="3345">
        <v>1016</v>
      </c>
      <c r="BR10" s="3345">
        <v>1165</v>
      </c>
      <c r="BS10" s="3345">
        <v>913</v>
      </c>
      <c r="BT10" s="3346">
        <v>955</v>
      </c>
      <c r="BU10" s="3346">
        <v>1191</v>
      </c>
      <c r="BV10" s="3346">
        <v>1067</v>
      </c>
      <c r="BW10" s="3347">
        <v>1084</v>
      </c>
      <c r="BX10" s="3348">
        <v>850</v>
      </c>
      <c r="BY10" s="3273">
        <v>816</v>
      </c>
      <c r="BZ10" s="3273">
        <v>1061</v>
      </c>
      <c r="CA10" s="3273">
        <v>1104</v>
      </c>
      <c r="CB10" s="3273">
        <v>971</v>
      </c>
      <c r="CC10" s="3273">
        <v>925</v>
      </c>
      <c r="CD10" s="3273">
        <v>1157</v>
      </c>
      <c r="CE10" s="3273">
        <v>914</v>
      </c>
      <c r="CF10" s="3273">
        <v>977</v>
      </c>
      <c r="CG10" s="3273">
        <v>994</v>
      </c>
      <c r="CH10" s="3273">
        <v>1010</v>
      </c>
      <c r="CI10" s="3275">
        <v>1471</v>
      </c>
      <c r="CJ10" s="3349">
        <v>1161</v>
      </c>
      <c r="CK10" s="3350">
        <v>1292</v>
      </c>
      <c r="CL10" s="3350">
        <v>1612</v>
      </c>
      <c r="CM10" s="3350">
        <v>1518</v>
      </c>
      <c r="CN10" s="3350">
        <v>1350</v>
      </c>
      <c r="CO10" s="3350">
        <v>1490</v>
      </c>
      <c r="CP10" s="3350">
        <v>1712</v>
      </c>
      <c r="CQ10" s="3350">
        <v>1328</v>
      </c>
      <c r="CR10" s="3350">
        <v>1559</v>
      </c>
      <c r="CS10" s="3350">
        <v>1567</v>
      </c>
      <c r="CT10" s="3350">
        <v>1967</v>
      </c>
      <c r="CU10" s="3351">
        <v>1576</v>
      </c>
      <c r="CV10" s="3349">
        <v>1180</v>
      </c>
      <c r="CW10" s="3350">
        <v>1207</v>
      </c>
      <c r="CX10" s="3272">
        <v>1707</v>
      </c>
      <c r="CY10" s="3272">
        <v>1417</v>
      </c>
      <c r="CZ10" s="3272">
        <v>1426</v>
      </c>
      <c r="DA10" s="3272">
        <v>1346</v>
      </c>
      <c r="DB10" s="3272">
        <v>1759</v>
      </c>
      <c r="DC10" s="3272">
        <v>1362</v>
      </c>
      <c r="DD10" s="3272">
        <v>1364</v>
      </c>
      <c r="DE10" s="3272">
        <v>1673</v>
      </c>
      <c r="DF10" s="3272">
        <v>1398</v>
      </c>
      <c r="DG10" s="3351">
        <v>1325</v>
      </c>
      <c r="DH10" s="3352">
        <v>1187</v>
      </c>
      <c r="DI10" s="3353">
        <v>1174</v>
      </c>
      <c r="DJ10" s="3353">
        <v>1524</v>
      </c>
      <c r="DK10" s="3354">
        <v>1104</v>
      </c>
      <c r="DL10" s="3354">
        <v>1264</v>
      </c>
      <c r="DM10" s="3354">
        <v>1329</v>
      </c>
      <c r="DN10" s="3354">
        <v>1498</v>
      </c>
      <c r="DO10" s="3354">
        <v>1248</v>
      </c>
      <c r="DP10" s="2556">
        <v>1308</v>
      </c>
      <c r="DQ10" s="3354">
        <v>1953</v>
      </c>
      <c r="DR10" s="3354">
        <v>1459</v>
      </c>
      <c r="DS10" s="3355">
        <v>1279</v>
      </c>
      <c r="DT10" s="3356">
        <v>1089</v>
      </c>
      <c r="DU10" s="3243">
        <v>1033</v>
      </c>
      <c r="DV10" s="3243">
        <v>1340</v>
      </c>
      <c r="DW10" s="3164">
        <v>1541</v>
      </c>
      <c r="DX10" s="3164">
        <v>1270</v>
      </c>
      <c r="DY10" s="3164">
        <v>1466</v>
      </c>
      <c r="DZ10" s="3164">
        <v>1782</v>
      </c>
      <c r="EA10" s="3164">
        <v>1384</v>
      </c>
      <c r="EB10" s="3164">
        <v>1310</v>
      </c>
      <c r="EC10" s="3164">
        <v>1643</v>
      </c>
      <c r="ED10" s="3164">
        <v>1674</v>
      </c>
      <c r="EE10" s="3163">
        <v>1625</v>
      </c>
      <c r="EF10" s="2532">
        <v>1302</v>
      </c>
      <c r="EG10" s="2531">
        <v>1297</v>
      </c>
      <c r="EH10" s="2531">
        <v>1472</v>
      </c>
      <c r="EI10" s="2531">
        <v>1656</v>
      </c>
      <c r="EJ10" s="2531">
        <v>1613</v>
      </c>
      <c r="EK10" s="2531">
        <v>1730</v>
      </c>
      <c r="EL10" s="2531">
        <v>2122</v>
      </c>
      <c r="EM10" s="2557">
        <v>1672</v>
      </c>
      <c r="EN10" s="2557">
        <v>1935</v>
      </c>
      <c r="EO10" s="2558">
        <v>2094</v>
      </c>
      <c r="EP10" s="2558">
        <v>1907</v>
      </c>
      <c r="EQ10" s="2559">
        <v>1793</v>
      </c>
      <c r="ER10" s="1320">
        <v>1454</v>
      </c>
      <c r="ES10" s="3357">
        <v>1596</v>
      </c>
      <c r="ET10" s="3357">
        <v>1930</v>
      </c>
      <c r="EU10" s="2560">
        <v>2053</v>
      </c>
      <c r="EV10" s="2104">
        <v>1644</v>
      </c>
      <c r="EW10" s="2104">
        <v>1820</v>
      </c>
      <c r="EX10" s="2104">
        <v>1932</v>
      </c>
      <c r="EY10" s="2104">
        <v>1590</v>
      </c>
      <c r="EZ10" s="2104">
        <v>1672</v>
      </c>
      <c r="FA10" s="2275">
        <v>1400</v>
      </c>
      <c r="FB10" s="2275">
        <v>1836</v>
      </c>
      <c r="FC10" s="2275">
        <v>2108</v>
      </c>
      <c r="FD10" s="2608">
        <v>1799</v>
      </c>
      <c r="FE10" s="2609">
        <v>1661</v>
      </c>
      <c r="FF10" s="2609">
        <v>771</v>
      </c>
      <c r="FG10" s="2609">
        <v>15</v>
      </c>
      <c r="FH10" s="2609">
        <v>12</v>
      </c>
      <c r="FI10" s="2609">
        <v>37</v>
      </c>
      <c r="FJ10" s="2609">
        <v>43</v>
      </c>
      <c r="FK10" s="2609">
        <v>355</v>
      </c>
      <c r="FL10" s="2609">
        <v>419</v>
      </c>
      <c r="FM10" s="2609">
        <v>477</v>
      </c>
      <c r="FN10" s="2609">
        <v>574</v>
      </c>
      <c r="FO10" s="2610">
        <v>731</v>
      </c>
      <c r="FP10" s="2608">
        <v>659</v>
      </c>
      <c r="FQ10" s="2609">
        <v>570</v>
      </c>
      <c r="FR10" s="2609">
        <v>525</v>
      </c>
      <c r="FS10" s="2609">
        <v>407</v>
      </c>
      <c r="FT10" s="2609">
        <v>549</v>
      </c>
      <c r="FU10" s="2609">
        <v>700</v>
      </c>
      <c r="FV10" s="2609">
        <v>709</v>
      </c>
      <c r="FW10" s="2609">
        <v>688</v>
      </c>
      <c r="FX10" s="2609">
        <v>812</v>
      </c>
      <c r="FY10" s="2609">
        <v>813</v>
      </c>
      <c r="FZ10" s="2609">
        <v>1047</v>
      </c>
      <c r="GA10" s="2610">
        <v>1140</v>
      </c>
      <c r="GB10" s="4656">
        <v>853</v>
      </c>
      <c r="GC10" s="4657">
        <v>784</v>
      </c>
      <c r="GD10" s="4657">
        <v>1041</v>
      </c>
      <c r="GE10" s="4657">
        <v>1334</v>
      </c>
      <c r="GF10" s="4657">
        <v>1304</v>
      </c>
      <c r="GG10" s="4657"/>
      <c r="GH10" s="4657"/>
      <c r="GI10" s="4657"/>
      <c r="GJ10" s="4657"/>
      <c r="GK10" s="4657"/>
      <c r="GL10" s="4657"/>
      <c r="GM10" s="4658"/>
      <c r="GN10" s="2607"/>
      <c r="GO10" s="2754">
        <v>1107</v>
      </c>
      <c r="GP10" s="2755">
        <v>1201</v>
      </c>
      <c r="GQ10" s="2755">
        <v>2035</v>
      </c>
      <c r="GR10" s="2756">
        <v>1775</v>
      </c>
      <c r="GS10" s="2757">
        <v>1471</v>
      </c>
      <c r="GT10" s="2758">
        <v>2006</v>
      </c>
      <c r="GU10" s="2758">
        <v>2219</v>
      </c>
      <c r="GV10" s="2759">
        <v>2497</v>
      </c>
      <c r="GW10" s="2760">
        <v>1567</v>
      </c>
      <c r="GX10" s="2761">
        <v>2059.5</v>
      </c>
      <c r="GY10" s="2762">
        <v>2250</v>
      </c>
      <c r="GZ10" s="2762">
        <v>2344</v>
      </c>
      <c r="HA10" s="2763">
        <v>1855</v>
      </c>
      <c r="HB10" s="2764">
        <v>2406</v>
      </c>
      <c r="HC10" s="2764">
        <v>2536</v>
      </c>
      <c r="HD10" s="2765">
        <v>2521</v>
      </c>
      <c r="HE10" s="2766">
        <v>2150</v>
      </c>
      <c r="HF10" s="2767">
        <v>3268</v>
      </c>
      <c r="HG10" s="2767">
        <v>3162</v>
      </c>
      <c r="HH10" s="2768">
        <v>3090</v>
      </c>
      <c r="HI10" s="2764">
        <v>1804</v>
      </c>
      <c r="HJ10" s="2764">
        <v>3017</v>
      </c>
      <c r="HK10" s="2764">
        <v>3033</v>
      </c>
      <c r="HL10" s="2764">
        <v>3342</v>
      </c>
      <c r="HM10" s="2769">
        <v>2727</v>
      </c>
      <c r="HN10" s="2769">
        <v>3000</v>
      </c>
      <c r="HO10" s="2769">
        <v>3048</v>
      </c>
      <c r="HP10" s="2769">
        <v>3475</v>
      </c>
      <c r="HQ10" s="2770">
        <v>4065</v>
      </c>
      <c r="HR10" s="2770">
        <v>4358</v>
      </c>
      <c r="HS10" s="2770">
        <f t="shared" si="1"/>
        <v>4599</v>
      </c>
      <c r="HT10" s="2770">
        <v>5110</v>
      </c>
      <c r="HU10" s="2771">
        <v>4094</v>
      </c>
      <c r="HV10" s="2771">
        <f t="shared" si="2"/>
        <v>4189</v>
      </c>
      <c r="HW10" s="2771">
        <f t="shared" si="3"/>
        <v>4485</v>
      </c>
      <c r="HX10" s="2770">
        <f t="shared" si="4"/>
        <v>4396</v>
      </c>
      <c r="HY10" s="2689">
        <f t="shared" si="5"/>
        <v>3885</v>
      </c>
      <c r="HZ10" s="2689">
        <f t="shared" si="6"/>
        <v>3697</v>
      </c>
      <c r="IA10" s="2689">
        <f t="shared" si="7"/>
        <v>4025</v>
      </c>
      <c r="IB10" s="2689">
        <f t="shared" si="8"/>
        <v>4691</v>
      </c>
      <c r="IC10" s="2764">
        <f t="shared" si="9"/>
        <v>3462</v>
      </c>
      <c r="ID10" s="2764">
        <f t="shared" si="10"/>
        <v>4277</v>
      </c>
      <c r="IE10" s="2764">
        <f t="shared" si="11"/>
        <v>4476</v>
      </c>
      <c r="IF10" s="2764">
        <f t="shared" si="12"/>
        <v>4942</v>
      </c>
      <c r="IG10" s="2772">
        <f t="shared" si="13"/>
        <v>4071</v>
      </c>
      <c r="IH10" s="2769">
        <f t="shared" si="14"/>
        <v>4999</v>
      </c>
      <c r="II10" s="2769">
        <f t="shared" si="15"/>
        <v>5729</v>
      </c>
      <c r="IJ10" s="2769">
        <f t="shared" si="16"/>
        <v>5794</v>
      </c>
      <c r="IK10" s="2773">
        <f t="shared" si="17"/>
        <v>4980</v>
      </c>
      <c r="IL10" s="2774">
        <f t="shared" si="18"/>
        <v>5517</v>
      </c>
      <c r="IM10" s="2774">
        <f t="shared" si="19"/>
        <v>5194</v>
      </c>
      <c r="IN10" s="2774">
        <f t="shared" si="20"/>
        <v>5344</v>
      </c>
      <c r="IO10" s="2775">
        <f t="shared" si="21"/>
        <v>4231</v>
      </c>
      <c r="IP10" s="2776">
        <f t="shared" si="22"/>
        <v>64</v>
      </c>
      <c r="IQ10" s="2776">
        <f t="shared" si="23"/>
        <v>5194</v>
      </c>
      <c r="IR10" s="2777">
        <f t="shared" si="24"/>
        <v>1782</v>
      </c>
      <c r="IS10" s="2772">
        <f t="shared" si="25"/>
        <v>1754</v>
      </c>
      <c r="IT10" s="2769">
        <f t="shared" si="26"/>
        <v>1656</v>
      </c>
      <c r="IU10" s="2769">
        <f t="shared" si="27"/>
        <v>2209</v>
      </c>
      <c r="IV10" s="2769">
        <f t="shared" si="28"/>
        <v>3000</v>
      </c>
      <c r="IW10" s="3976">
        <f t="shared" si="46"/>
        <v>2678</v>
      </c>
      <c r="IX10" s="2764">
        <f t="shared" si="47"/>
        <v>2638</v>
      </c>
      <c r="IY10" s="2764">
        <f t="shared" si="48"/>
        <v>0</v>
      </c>
      <c r="IZ10" s="3977">
        <f t="shared" si="49"/>
        <v>0</v>
      </c>
      <c r="JA10" s="3957"/>
      <c r="JB10" s="3358">
        <v>6118</v>
      </c>
      <c r="JC10" s="3359">
        <v>8193</v>
      </c>
      <c r="JD10" s="3359">
        <v>8220.5</v>
      </c>
      <c r="JE10" s="3359">
        <v>9318</v>
      </c>
      <c r="JF10" s="3359">
        <v>11670</v>
      </c>
      <c r="JG10" s="3359">
        <v>11196</v>
      </c>
      <c r="JH10" s="3360">
        <v>12250</v>
      </c>
      <c r="JI10" s="3361">
        <v>18132</v>
      </c>
      <c r="JJ10" s="3361">
        <f t="shared" si="29"/>
        <v>17164</v>
      </c>
      <c r="JK10" s="3361">
        <f t="shared" si="30"/>
        <v>16327</v>
      </c>
      <c r="JL10" s="3361">
        <f t="shared" si="31"/>
        <v>17157</v>
      </c>
      <c r="JM10" s="3361">
        <f t="shared" si="32"/>
        <v>20593</v>
      </c>
      <c r="JN10" s="3362">
        <f t="shared" si="0"/>
        <v>21035</v>
      </c>
      <c r="JO10" s="3380">
        <f t="shared" si="33"/>
        <v>6894</v>
      </c>
      <c r="JP10" s="3378">
        <f t="shared" si="50"/>
        <v>8619</v>
      </c>
      <c r="JQ10" s="3377">
        <f t="shared" si="51"/>
        <v>11225</v>
      </c>
      <c r="JS10" s="4673">
        <f t="shared" si="52"/>
        <v>1229</v>
      </c>
      <c r="JT10" s="3579">
        <f t="shared" si="53"/>
        <v>5316</v>
      </c>
      <c r="JU10" s="2525"/>
      <c r="JV10" s="3365">
        <f t="shared" si="54"/>
        <v>8912.6666666666661</v>
      </c>
      <c r="JW10" s="3366">
        <f t="shared" si="34"/>
        <v>2.6013899997769371E-2</v>
      </c>
      <c r="JX10" s="3366">
        <f t="shared" si="35"/>
        <v>2.6276896027298442E-2</v>
      </c>
      <c r="JY10" s="3366">
        <f t="shared" si="55"/>
        <v>2.9975254730713247E-2</v>
      </c>
      <c r="JZ10" s="3366">
        <f t="shared" si="36"/>
        <v>3.061863173216885E-2</v>
      </c>
      <c r="KA10" s="3366">
        <f t="shared" si="37"/>
        <v>3.6117878192534383E-2</v>
      </c>
      <c r="KB10" s="4688">
        <f t="shared" si="38"/>
        <v>3.0673034491594187E-2</v>
      </c>
      <c r="KC10" s="4691">
        <f t="shared" si="56"/>
        <v>2.3464070185266864E-2</v>
      </c>
      <c r="KD10" s="3366"/>
      <c r="KE10" s="3368">
        <f t="shared" si="39"/>
        <v>5.0836038463894173E-2</v>
      </c>
      <c r="KF10" s="3369">
        <f t="shared" si="40"/>
        <v>-0.45411486086441688</v>
      </c>
      <c r="KG10" s="3369">
        <f t="shared" si="41"/>
        <v>0.20026811214081719</v>
      </c>
      <c r="KH10" s="3369">
        <f t="shared" si="42"/>
        <v>2.1463604137328174E-2</v>
      </c>
      <c r="KI10" s="3369">
        <f t="shared" si="43"/>
        <v>-0.67226051818397914</v>
      </c>
      <c r="KJ10" s="3368">
        <f t="shared" si="44"/>
        <v>-0.5902543380080818</v>
      </c>
      <c r="KK10" s="3369">
        <f t="shared" si="57"/>
        <v>0.25021758050478682</v>
      </c>
      <c r="KL10" s="4678">
        <f t="shared" si="45"/>
        <v>-0.46636558117423343</v>
      </c>
      <c r="KM10" s="4678">
        <f t="shared" si="58"/>
        <v>0.30235526163127968</v>
      </c>
      <c r="KN10" s="3045"/>
      <c r="KO10" s="3045"/>
      <c r="KP10" s="3045"/>
      <c r="KQ10" s="3045"/>
      <c r="KR10" s="3045"/>
      <c r="KS10" s="3045"/>
      <c r="KT10" s="3045"/>
      <c r="KU10" s="3045"/>
      <c r="KV10" s="3045"/>
      <c r="KW10" s="3045"/>
      <c r="KX10" s="3045"/>
      <c r="KY10" s="3045"/>
      <c r="KZ10" s="3045"/>
      <c r="LA10" s="3045"/>
      <c r="LB10" s="3045"/>
      <c r="LC10" s="3045"/>
      <c r="LD10" s="3045"/>
      <c r="LE10" s="3045"/>
      <c r="LF10" s="3045"/>
      <c r="LG10" s="3045"/>
      <c r="LH10" s="3045"/>
      <c r="LI10" s="3045"/>
      <c r="LJ10" s="3045"/>
      <c r="LK10" s="2525"/>
      <c r="LL10" s="2525"/>
      <c r="LM10" s="2525"/>
      <c r="LN10" s="2525"/>
      <c r="LO10" s="2525"/>
      <c r="LP10" s="2525"/>
      <c r="LQ10" s="2525"/>
      <c r="LR10" s="2525"/>
    </row>
    <row r="11" spans="1:330" ht="21.9" customHeight="1">
      <c r="A11" s="3372"/>
      <c r="B11" s="3045"/>
      <c r="C11" s="3373" t="s">
        <v>11</v>
      </c>
      <c r="D11" s="3330">
        <v>597</v>
      </c>
      <c r="E11" s="3331">
        <v>619</v>
      </c>
      <c r="F11" s="3331">
        <v>664</v>
      </c>
      <c r="G11" s="3331">
        <v>603</v>
      </c>
      <c r="H11" s="3331">
        <v>624</v>
      </c>
      <c r="I11" s="3331">
        <v>757</v>
      </c>
      <c r="J11" s="3331">
        <v>855</v>
      </c>
      <c r="K11" s="3331">
        <v>821</v>
      </c>
      <c r="L11" s="3331">
        <v>861</v>
      </c>
      <c r="M11" s="3331">
        <v>909</v>
      </c>
      <c r="N11" s="3331">
        <v>950</v>
      </c>
      <c r="O11" s="3332">
        <v>519</v>
      </c>
      <c r="P11" s="3333">
        <v>656</v>
      </c>
      <c r="Q11" s="3334">
        <v>1028</v>
      </c>
      <c r="R11" s="3334">
        <v>728</v>
      </c>
      <c r="S11" s="3334">
        <v>856</v>
      </c>
      <c r="T11" s="3334">
        <v>835</v>
      </c>
      <c r="U11" s="3334">
        <v>752</v>
      </c>
      <c r="V11" s="3334">
        <v>845</v>
      </c>
      <c r="W11" s="3334">
        <v>925</v>
      </c>
      <c r="X11" s="3334">
        <v>919</v>
      </c>
      <c r="Y11" s="3334">
        <v>813</v>
      </c>
      <c r="Z11" s="3334">
        <v>935</v>
      </c>
      <c r="AA11" s="3335">
        <v>759</v>
      </c>
      <c r="AB11" s="3336">
        <v>1199</v>
      </c>
      <c r="AC11" s="3337">
        <v>857</v>
      </c>
      <c r="AD11" s="3337">
        <v>1043</v>
      </c>
      <c r="AE11" s="3337">
        <v>841</v>
      </c>
      <c r="AF11" s="3337">
        <v>873</v>
      </c>
      <c r="AG11" s="3337">
        <v>905</v>
      </c>
      <c r="AH11" s="3337">
        <v>964</v>
      </c>
      <c r="AI11" s="3337">
        <v>761</v>
      </c>
      <c r="AJ11" s="3337">
        <v>873</v>
      </c>
      <c r="AK11" s="3337">
        <v>845</v>
      </c>
      <c r="AL11" s="3337">
        <v>869</v>
      </c>
      <c r="AM11" s="3338">
        <v>782</v>
      </c>
      <c r="AN11" s="3339">
        <v>924</v>
      </c>
      <c r="AO11" s="3340">
        <v>1186</v>
      </c>
      <c r="AP11" s="3340">
        <v>910</v>
      </c>
      <c r="AQ11" s="3340">
        <v>828</v>
      </c>
      <c r="AR11" s="3340">
        <v>935</v>
      </c>
      <c r="AS11" s="3340">
        <v>820</v>
      </c>
      <c r="AT11" s="3340">
        <v>779</v>
      </c>
      <c r="AU11" s="3340">
        <v>919</v>
      </c>
      <c r="AV11" s="3340">
        <v>728</v>
      </c>
      <c r="AW11" s="3340">
        <v>943</v>
      </c>
      <c r="AX11" s="3340">
        <v>971</v>
      </c>
      <c r="AY11" s="3341">
        <v>681</v>
      </c>
      <c r="AZ11" s="3277">
        <v>724</v>
      </c>
      <c r="BA11" s="3277">
        <v>842</v>
      </c>
      <c r="BB11" s="3277">
        <v>1005</v>
      </c>
      <c r="BC11" s="3277">
        <v>954</v>
      </c>
      <c r="BD11" s="3277">
        <v>999</v>
      </c>
      <c r="BE11" s="3277">
        <v>933</v>
      </c>
      <c r="BF11" s="3277">
        <v>1055</v>
      </c>
      <c r="BG11" s="3277">
        <v>987</v>
      </c>
      <c r="BH11" s="3277">
        <v>933</v>
      </c>
      <c r="BI11" s="3277">
        <v>1124</v>
      </c>
      <c r="BJ11" s="3277">
        <v>1562</v>
      </c>
      <c r="BK11" s="3374">
        <v>831</v>
      </c>
      <c r="BL11" s="3344">
        <v>932</v>
      </c>
      <c r="BM11" s="3345">
        <v>818</v>
      </c>
      <c r="BN11" s="3345">
        <v>1172</v>
      </c>
      <c r="BO11" s="3345">
        <v>1112</v>
      </c>
      <c r="BP11" s="3345">
        <v>1238</v>
      </c>
      <c r="BQ11" s="3345">
        <v>1179</v>
      </c>
      <c r="BR11" s="3345">
        <v>1336</v>
      </c>
      <c r="BS11" s="3345">
        <v>1297</v>
      </c>
      <c r="BT11" s="3346">
        <v>1381</v>
      </c>
      <c r="BU11" s="3346">
        <v>1530</v>
      </c>
      <c r="BV11" s="3346">
        <v>1372</v>
      </c>
      <c r="BW11" s="3347">
        <v>931</v>
      </c>
      <c r="BX11" s="3348">
        <v>1248</v>
      </c>
      <c r="BY11" s="3273">
        <v>1342</v>
      </c>
      <c r="BZ11" s="3273">
        <v>1370</v>
      </c>
      <c r="CA11" s="3273">
        <v>1459</v>
      </c>
      <c r="CB11" s="3273">
        <v>1709</v>
      </c>
      <c r="CC11" s="3273">
        <v>1759</v>
      </c>
      <c r="CD11" s="3273">
        <v>1941</v>
      </c>
      <c r="CE11" s="3273">
        <v>1512</v>
      </c>
      <c r="CF11" s="3273">
        <v>1510</v>
      </c>
      <c r="CG11" s="3273">
        <v>1280</v>
      </c>
      <c r="CH11" s="3273">
        <v>1258</v>
      </c>
      <c r="CI11" s="3275">
        <v>1183</v>
      </c>
      <c r="CJ11" s="3349">
        <v>1359</v>
      </c>
      <c r="CK11" s="3350">
        <v>2651</v>
      </c>
      <c r="CL11" s="3350">
        <v>1597</v>
      </c>
      <c r="CM11" s="3350">
        <v>1563</v>
      </c>
      <c r="CN11" s="3350">
        <v>1626</v>
      </c>
      <c r="CO11" s="3350">
        <v>1960</v>
      </c>
      <c r="CP11" s="3350">
        <v>1511</v>
      </c>
      <c r="CQ11" s="3350">
        <v>1434</v>
      </c>
      <c r="CR11" s="3350">
        <v>1571</v>
      </c>
      <c r="CS11" s="3350">
        <v>1512</v>
      </c>
      <c r="CT11" s="3350">
        <v>1614</v>
      </c>
      <c r="CU11" s="3351">
        <v>1304</v>
      </c>
      <c r="CV11" s="3349">
        <v>1201</v>
      </c>
      <c r="CW11" s="3350">
        <v>1299</v>
      </c>
      <c r="CX11" s="3272">
        <v>1352</v>
      </c>
      <c r="CY11" s="3272">
        <v>1279</v>
      </c>
      <c r="CZ11" s="3272">
        <v>1332</v>
      </c>
      <c r="DA11" s="3272">
        <v>1003</v>
      </c>
      <c r="DB11" s="3272">
        <v>1305</v>
      </c>
      <c r="DC11" s="3272">
        <v>1008</v>
      </c>
      <c r="DD11" s="3272">
        <v>1166</v>
      </c>
      <c r="DE11" s="3272">
        <v>1289</v>
      </c>
      <c r="DF11" s="3272">
        <v>1225</v>
      </c>
      <c r="DG11" s="3351">
        <v>1000</v>
      </c>
      <c r="DH11" s="3352">
        <v>1181</v>
      </c>
      <c r="DI11" s="3353">
        <v>1107</v>
      </c>
      <c r="DJ11" s="3353">
        <v>1047</v>
      </c>
      <c r="DK11" s="3354">
        <v>865</v>
      </c>
      <c r="DL11" s="3354">
        <v>996</v>
      </c>
      <c r="DM11" s="3354">
        <v>1029</v>
      </c>
      <c r="DN11" s="3354">
        <v>1026</v>
      </c>
      <c r="DO11" s="3354">
        <v>985</v>
      </c>
      <c r="DP11" s="2556">
        <v>1164</v>
      </c>
      <c r="DQ11" s="3354">
        <v>1353</v>
      </c>
      <c r="DR11" s="3354">
        <v>1188</v>
      </c>
      <c r="DS11" s="3355">
        <v>896</v>
      </c>
      <c r="DT11" s="3356">
        <v>1029</v>
      </c>
      <c r="DU11" s="3243">
        <v>798</v>
      </c>
      <c r="DV11" s="3243">
        <v>1288</v>
      </c>
      <c r="DW11" s="3164">
        <v>1344</v>
      </c>
      <c r="DX11" s="3164">
        <v>1295</v>
      </c>
      <c r="DY11" s="3164">
        <v>1374</v>
      </c>
      <c r="DZ11" s="3164">
        <v>1410</v>
      </c>
      <c r="EA11" s="3164">
        <v>1173</v>
      </c>
      <c r="EB11" s="3164">
        <v>1723</v>
      </c>
      <c r="EC11" s="3164">
        <v>1669</v>
      </c>
      <c r="ED11" s="3164">
        <v>1302</v>
      </c>
      <c r="EE11" s="3163">
        <v>1261</v>
      </c>
      <c r="EF11" s="2532">
        <v>1555</v>
      </c>
      <c r="EG11" s="2531">
        <v>1225</v>
      </c>
      <c r="EH11" s="2531">
        <v>1478</v>
      </c>
      <c r="EI11" s="2531">
        <v>1463</v>
      </c>
      <c r="EJ11" s="2531">
        <v>1596</v>
      </c>
      <c r="EK11" s="2531">
        <v>1775</v>
      </c>
      <c r="EL11" s="2531">
        <v>1486</v>
      </c>
      <c r="EM11" s="2557">
        <v>1271</v>
      </c>
      <c r="EN11" s="2557">
        <v>1312</v>
      </c>
      <c r="EO11" s="2558">
        <v>1756</v>
      </c>
      <c r="EP11" s="2558">
        <v>1294</v>
      </c>
      <c r="EQ11" s="2559">
        <v>1227</v>
      </c>
      <c r="ER11" s="1320">
        <v>1128</v>
      </c>
      <c r="ES11" s="3357">
        <v>1306</v>
      </c>
      <c r="ET11" s="3357">
        <v>1156</v>
      </c>
      <c r="EU11" s="2560">
        <v>1277</v>
      </c>
      <c r="EV11" s="2104">
        <v>1495</v>
      </c>
      <c r="EW11" s="2104">
        <v>2157</v>
      </c>
      <c r="EX11" s="2104">
        <v>1553</v>
      </c>
      <c r="EY11" s="2104">
        <v>1363</v>
      </c>
      <c r="EZ11" s="2104">
        <v>1780</v>
      </c>
      <c r="FA11" s="2275">
        <v>1568</v>
      </c>
      <c r="FB11" s="2275">
        <v>1727</v>
      </c>
      <c r="FC11" s="2275">
        <v>1580</v>
      </c>
      <c r="FD11" s="2608">
        <v>1581</v>
      </c>
      <c r="FE11" s="2609">
        <v>1552</v>
      </c>
      <c r="FF11" s="2609">
        <v>622</v>
      </c>
      <c r="FG11" s="2609">
        <v>9</v>
      </c>
      <c r="FH11" s="2609">
        <v>9</v>
      </c>
      <c r="FI11" s="2609">
        <v>10</v>
      </c>
      <c r="FJ11" s="2609">
        <v>37</v>
      </c>
      <c r="FK11" s="2609">
        <v>81</v>
      </c>
      <c r="FL11" s="2609">
        <v>96</v>
      </c>
      <c r="FM11" s="2609">
        <v>728</v>
      </c>
      <c r="FN11" s="2609">
        <v>365</v>
      </c>
      <c r="FO11" s="2610">
        <v>501</v>
      </c>
      <c r="FP11" s="2608">
        <v>383</v>
      </c>
      <c r="FQ11" s="2609">
        <v>229</v>
      </c>
      <c r="FR11" s="2609">
        <v>254</v>
      </c>
      <c r="FS11" s="2609">
        <v>310</v>
      </c>
      <c r="FT11" s="2609">
        <v>595</v>
      </c>
      <c r="FU11" s="2609">
        <v>459</v>
      </c>
      <c r="FV11" s="2609">
        <v>602</v>
      </c>
      <c r="FW11" s="2609">
        <v>577</v>
      </c>
      <c r="FX11" s="2609">
        <v>918</v>
      </c>
      <c r="FY11" s="2609">
        <v>863</v>
      </c>
      <c r="FZ11" s="2609">
        <v>996</v>
      </c>
      <c r="GA11" s="2610">
        <v>735</v>
      </c>
      <c r="GB11" s="4656">
        <v>739</v>
      </c>
      <c r="GC11" s="4657">
        <v>752</v>
      </c>
      <c r="GD11" s="4657">
        <v>1031</v>
      </c>
      <c r="GE11" s="4657">
        <v>1014</v>
      </c>
      <c r="GF11" s="4657">
        <v>1061</v>
      </c>
      <c r="GG11" s="4657"/>
      <c r="GH11" s="4657"/>
      <c r="GI11" s="4657"/>
      <c r="GJ11" s="4657"/>
      <c r="GK11" s="4657"/>
      <c r="GL11" s="4657"/>
      <c r="GM11" s="4658"/>
      <c r="GN11" s="2607"/>
      <c r="GO11" s="2754">
        <v>1880</v>
      </c>
      <c r="GP11" s="2755">
        <v>1984</v>
      </c>
      <c r="GQ11" s="2755">
        <v>2537</v>
      </c>
      <c r="GR11" s="2756">
        <v>2378</v>
      </c>
      <c r="GS11" s="2757">
        <v>2412</v>
      </c>
      <c r="GT11" s="2758">
        <v>2443</v>
      </c>
      <c r="GU11" s="2758">
        <v>2689</v>
      </c>
      <c r="GV11" s="2759">
        <v>2507</v>
      </c>
      <c r="GW11" s="2760">
        <v>3099</v>
      </c>
      <c r="GX11" s="2761">
        <v>2619</v>
      </c>
      <c r="GY11" s="2762">
        <v>2598</v>
      </c>
      <c r="GZ11" s="2762">
        <v>2496</v>
      </c>
      <c r="HA11" s="2763">
        <v>3020</v>
      </c>
      <c r="HB11" s="2764">
        <v>2583</v>
      </c>
      <c r="HC11" s="2764">
        <v>2426</v>
      </c>
      <c r="HD11" s="2765">
        <v>2595</v>
      </c>
      <c r="HE11" s="2766">
        <v>2571</v>
      </c>
      <c r="HF11" s="2767">
        <v>2886</v>
      </c>
      <c r="HG11" s="2767">
        <v>2975</v>
      </c>
      <c r="HH11" s="2768">
        <v>3517</v>
      </c>
      <c r="HI11" s="2764">
        <v>2922</v>
      </c>
      <c r="HJ11" s="2764">
        <v>3529</v>
      </c>
      <c r="HK11" s="2764">
        <v>4014</v>
      </c>
      <c r="HL11" s="2764">
        <v>3833</v>
      </c>
      <c r="HM11" s="2769">
        <v>3960</v>
      </c>
      <c r="HN11" s="2769">
        <v>4927</v>
      </c>
      <c r="HO11" s="2769">
        <v>4963</v>
      </c>
      <c r="HP11" s="2769">
        <v>3721</v>
      </c>
      <c r="HQ11" s="2770">
        <v>5607</v>
      </c>
      <c r="HR11" s="2770">
        <v>5149</v>
      </c>
      <c r="HS11" s="2770">
        <f t="shared" si="1"/>
        <v>4516</v>
      </c>
      <c r="HT11" s="2770">
        <v>4430</v>
      </c>
      <c r="HU11" s="2771">
        <v>3852</v>
      </c>
      <c r="HV11" s="2771">
        <f t="shared" si="2"/>
        <v>3614</v>
      </c>
      <c r="HW11" s="2771">
        <f t="shared" si="3"/>
        <v>3479</v>
      </c>
      <c r="HX11" s="2770">
        <f t="shared" si="4"/>
        <v>3514</v>
      </c>
      <c r="HY11" s="2689">
        <f t="shared" si="5"/>
        <v>3335</v>
      </c>
      <c r="HZ11" s="2689">
        <f t="shared" si="6"/>
        <v>2890</v>
      </c>
      <c r="IA11" s="2689">
        <f t="shared" si="7"/>
        <v>2907</v>
      </c>
      <c r="IB11" s="2689">
        <f t="shared" si="8"/>
        <v>3437</v>
      </c>
      <c r="IC11" s="2764">
        <f t="shared" si="9"/>
        <v>3115</v>
      </c>
      <c r="ID11" s="2764">
        <f t="shared" si="10"/>
        <v>4013</v>
      </c>
      <c r="IE11" s="2764">
        <f t="shared" si="11"/>
        <v>4306</v>
      </c>
      <c r="IF11" s="2764">
        <f t="shared" si="12"/>
        <v>4232</v>
      </c>
      <c r="IG11" s="2772">
        <f t="shared" si="13"/>
        <v>4258</v>
      </c>
      <c r="IH11" s="2769">
        <f t="shared" si="14"/>
        <v>4834</v>
      </c>
      <c r="II11" s="2769">
        <f t="shared" si="15"/>
        <v>4069</v>
      </c>
      <c r="IJ11" s="2769">
        <f t="shared" si="16"/>
        <v>4277</v>
      </c>
      <c r="IK11" s="2773">
        <f t="shared" si="17"/>
        <v>3590</v>
      </c>
      <c r="IL11" s="2774">
        <f t="shared" si="18"/>
        <v>4929</v>
      </c>
      <c r="IM11" s="2774">
        <f t="shared" si="19"/>
        <v>4696</v>
      </c>
      <c r="IN11" s="2774">
        <f t="shared" si="20"/>
        <v>4875</v>
      </c>
      <c r="IO11" s="2775">
        <f t="shared" si="21"/>
        <v>3755</v>
      </c>
      <c r="IP11" s="2776">
        <f t="shared" si="22"/>
        <v>28</v>
      </c>
      <c r="IQ11" s="2776">
        <f t="shared" si="23"/>
        <v>4696</v>
      </c>
      <c r="IR11" s="2777">
        <f t="shared" si="24"/>
        <v>1594</v>
      </c>
      <c r="IS11" s="2772">
        <f t="shared" si="25"/>
        <v>866</v>
      </c>
      <c r="IT11" s="2769">
        <f t="shared" si="26"/>
        <v>1364</v>
      </c>
      <c r="IU11" s="2769">
        <f t="shared" si="27"/>
        <v>2097</v>
      </c>
      <c r="IV11" s="2769">
        <f t="shared" si="28"/>
        <v>2594</v>
      </c>
      <c r="IW11" s="3976">
        <f t="shared" si="46"/>
        <v>2522</v>
      </c>
      <c r="IX11" s="2764">
        <f t="shared" si="47"/>
        <v>2075</v>
      </c>
      <c r="IY11" s="2764">
        <f t="shared" si="48"/>
        <v>0</v>
      </c>
      <c r="IZ11" s="3977">
        <f t="shared" si="49"/>
        <v>0</v>
      </c>
      <c r="JA11" s="3957"/>
      <c r="JB11" s="3358">
        <v>8779</v>
      </c>
      <c r="JC11" s="3359">
        <v>10051</v>
      </c>
      <c r="JD11" s="3359">
        <v>10812</v>
      </c>
      <c r="JE11" s="3359">
        <v>10624</v>
      </c>
      <c r="JF11" s="3359">
        <v>11949</v>
      </c>
      <c r="JG11" s="3359">
        <v>14298</v>
      </c>
      <c r="JH11" s="3360">
        <v>17571</v>
      </c>
      <c r="JI11" s="3361">
        <v>19702</v>
      </c>
      <c r="JJ11" s="3361">
        <f t="shared" si="29"/>
        <v>14459</v>
      </c>
      <c r="JK11" s="3361">
        <f t="shared" si="30"/>
        <v>12837</v>
      </c>
      <c r="JL11" s="3361">
        <f t="shared" si="31"/>
        <v>15666</v>
      </c>
      <c r="JM11" s="3361">
        <f t="shared" si="32"/>
        <v>17438</v>
      </c>
      <c r="JN11" s="3362">
        <f t="shared" si="0"/>
        <v>18090</v>
      </c>
      <c r="JO11" s="3380">
        <f t="shared" si="33"/>
        <v>5591</v>
      </c>
      <c r="JP11" s="3378">
        <f t="shared" si="50"/>
        <v>6921</v>
      </c>
      <c r="JQ11" s="3377">
        <f t="shared" si="51"/>
        <v>9747</v>
      </c>
      <c r="JS11" s="4673">
        <f t="shared" si="52"/>
        <v>612</v>
      </c>
      <c r="JT11" s="3579">
        <f t="shared" si="53"/>
        <v>4597</v>
      </c>
      <c r="JU11" s="2525"/>
      <c r="JV11" s="3365">
        <f t="shared" si="54"/>
        <v>7419.666666666667</v>
      </c>
      <c r="JW11" s="3366">
        <f t="shared" si="34"/>
        <v>2.0453263567793558E-2</v>
      </c>
      <c r="JX11" s="3366">
        <f t="shared" si="35"/>
        <v>2.3993346923334932E-2</v>
      </c>
      <c r="JY11" s="3366">
        <f t="shared" si="55"/>
        <v>2.5382823871906841E-2</v>
      </c>
      <c r="JZ11" s="3366">
        <f t="shared" si="36"/>
        <v>2.633187772925764E-2</v>
      </c>
      <c r="KA11" s="3366">
        <f t="shared" si="37"/>
        <v>2.9291421087098885E-2</v>
      </c>
      <c r="KB11" s="4688">
        <f t="shared" si="38"/>
        <v>2.4630243846887501E-2</v>
      </c>
      <c r="KC11" s="4691">
        <f t="shared" si="56"/>
        <v>2.0374547180026379E-2</v>
      </c>
      <c r="KD11" s="3366"/>
      <c r="KE11" s="3368">
        <f t="shared" si="39"/>
        <v>0.22037859312923591</v>
      </c>
      <c r="KF11" s="3369">
        <f t="shared" si="40"/>
        <v>-0.4220092960452857</v>
      </c>
      <c r="KG11" s="3369">
        <f t="shared" si="41"/>
        <v>0.11311119622111576</v>
      </c>
      <c r="KH11" s="3369">
        <f t="shared" si="42"/>
        <v>3.7389608900103122E-2</v>
      </c>
      <c r="KI11" s="3369">
        <f t="shared" si="43"/>
        <v>-0.69093421779988939</v>
      </c>
      <c r="KJ11" s="3368">
        <f t="shared" si="44"/>
        <v>-0.61741293532338304</v>
      </c>
      <c r="KK11" s="3369">
        <f t="shared" si="57"/>
        <v>0.23788231085673406</v>
      </c>
      <c r="KL11" s="4678">
        <f t="shared" si="45"/>
        <v>-0.46119402985074631</v>
      </c>
      <c r="KM11" s="4678">
        <f t="shared" si="58"/>
        <v>0.40832249674902465</v>
      </c>
      <c r="KN11" s="3045"/>
      <c r="KO11" s="3045"/>
      <c r="KP11" s="3045"/>
      <c r="KQ11" s="3045"/>
      <c r="KR11" s="3045"/>
      <c r="KS11" s="3045"/>
      <c r="KT11" s="3045"/>
      <c r="KU11" s="3045"/>
      <c r="KV11" s="3045"/>
      <c r="KW11" s="3045"/>
      <c r="KX11" s="3045"/>
      <c r="KY11" s="3045"/>
      <c r="KZ11" s="3045"/>
      <c r="LA11" s="3045"/>
      <c r="LB11" s="3045"/>
      <c r="LC11" s="3045"/>
      <c r="LD11" s="3045"/>
      <c r="LE11" s="3045"/>
      <c r="LF11" s="3045"/>
      <c r="LG11" s="3045"/>
      <c r="LH11" s="3045"/>
      <c r="LI11" s="3045"/>
      <c r="LJ11" s="3045"/>
      <c r="LK11" s="2525"/>
      <c r="LL11" s="2525"/>
      <c r="LM11" s="2525"/>
      <c r="LN11" s="2525"/>
      <c r="LO11" s="2525"/>
      <c r="LP11" s="2525"/>
      <c r="LQ11" s="2525"/>
      <c r="LR11" s="2525"/>
    </row>
    <row r="12" spans="1:330" ht="21.9" customHeight="1">
      <c r="A12" s="3372"/>
      <c r="B12" s="3045"/>
      <c r="C12" s="3373" t="s">
        <v>21</v>
      </c>
      <c r="D12" s="3330">
        <v>543</v>
      </c>
      <c r="E12" s="3331">
        <v>685</v>
      </c>
      <c r="F12" s="3331">
        <v>788</v>
      </c>
      <c r="G12" s="3331">
        <v>824</v>
      </c>
      <c r="H12" s="3331">
        <v>704</v>
      </c>
      <c r="I12" s="3331">
        <v>744</v>
      </c>
      <c r="J12" s="3331">
        <v>1339</v>
      </c>
      <c r="K12" s="3331">
        <v>1363</v>
      </c>
      <c r="L12" s="3331">
        <v>964</v>
      </c>
      <c r="M12" s="3331">
        <v>1261</v>
      </c>
      <c r="N12" s="3331">
        <v>1037</v>
      </c>
      <c r="O12" s="3332">
        <v>669</v>
      </c>
      <c r="P12" s="3333">
        <v>824</v>
      </c>
      <c r="Q12" s="3334">
        <v>1149</v>
      </c>
      <c r="R12" s="3334">
        <v>823</v>
      </c>
      <c r="S12" s="3334">
        <v>1148</v>
      </c>
      <c r="T12" s="3334">
        <v>934</v>
      </c>
      <c r="U12" s="3334">
        <v>975</v>
      </c>
      <c r="V12" s="3334">
        <v>1638</v>
      </c>
      <c r="W12" s="3334">
        <v>1653</v>
      </c>
      <c r="X12" s="3334">
        <v>1093</v>
      </c>
      <c r="Y12" s="3334">
        <v>1377</v>
      </c>
      <c r="Z12" s="3334">
        <v>1200</v>
      </c>
      <c r="AA12" s="3335">
        <v>673</v>
      </c>
      <c r="AB12" s="3336">
        <v>983</v>
      </c>
      <c r="AC12" s="3337">
        <v>1015</v>
      </c>
      <c r="AD12" s="3337">
        <v>796</v>
      </c>
      <c r="AE12" s="3337">
        <v>1016</v>
      </c>
      <c r="AF12" s="3337">
        <v>965</v>
      </c>
      <c r="AG12" s="3337">
        <v>914</v>
      </c>
      <c r="AH12" s="3337">
        <v>1694</v>
      </c>
      <c r="AI12" s="3337">
        <v>1736</v>
      </c>
      <c r="AJ12" s="3337">
        <v>1131</v>
      </c>
      <c r="AK12" s="3337">
        <v>1386</v>
      </c>
      <c r="AL12" s="3337">
        <v>1175</v>
      </c>
      <c r="AM12" s="3338">
        <v>749</v>
      </c>
      <c r="AN12" s="3339">
        <v>742</v>
      </c>
      <c r="AO12" s="3340">
        <v>833</v>
      </c>
      <c r="AP12" s="3340">
        <v>1023</v>
      </c>
      <c r="AQ12" s="3340">
        <v>740</v>
      </c>
      <c r="AR12" s="3340">
        <v>1128</v>
      </c>
      <c r="AS12" s="3340">
        <v>840</v>
      </c>
      <c r="AT12" s="3340">
        <v>1883</v>
      </c>
      <c r="AU12" s="3340">
        <v>1664</v>
      </c>
      <c r="AV12" s="3340">
        <v>843</v>
      </c>
      <c r="AW12" s="3340">
        <v>1482</v>
      </c>
      <c r="AX12" s="3340">
        <v>1372</v>
      </c>
      <c r="AY12" s="3341">
        <v>727</v>
      </c>
      <c r="AZ12" s="3277">
        <v>759</v>
      </c>
      <c r="BA12" s="3277">
        <v>756</v>
      </c>
      <c r="BB12" s="3277">
        <v>935</v>
      </c>
      <c r="BC12" s="3277">
        <v>872</v>
      </c>
      <c r="BD12" s="3277">
        <v>1262</v>
      </c>
      <c r="BE12" s="3277">
        <v>730</v>
      </c>
      <c r="BF12" s="3277">
        <v>1595</v>
      </c>
      <c r="BG12" s="3277">
        <v>1453</v>
      </c>
      <c r="BH12" s="3277">
        <v>992</v>
      </c>
      <c r="BI12" s="3277">
        <v>1427</v>
      </c>
      <c r="BJ12" s="3277">
        <v>1289</v>
      </c>
      <c r="BK12" s="3374">
        <v>680</v>
      </c>
      <c r="BL12" s="3344">
        <v>673</v>
      </c>
      <c r="BM12" s="3345">
        <v>845</v>
      </c>
      <c r="BN12" s="3345">
        <v>756</v>
      </c>
      <c r="BO12" s="3345">
        <v>782</v>
      </c>
      <c r="BP12" s="3345">
        <v>829</v>
      </c>
      <c r="BQ12" s="3345">
        <v>701</v>
      </c>
      <c r="BR12" s="3345">
        <v>1552</v>
      </c>
      <c r="BS12" s="3345">
        <v>1404</v>
      </c>
      <c r="BT12" s="3346">
        <v>1214</v>
      </c>
      <c r="BU12" s="3346">
        <v>1410</v>
      </c>
      <c r="BV12" s="3346">
        <v>1180</v>
      </c>
      <c r="BW12" s="3347">
        <v>745</v>
      </c>
      <c r="BX12" s="3348">
        <v>880</v>
      </c>
      <c r="BY12" s="3273">
        <v>808</v>
      </c>
      <c r="BZ12" s="3273">
        <v>969</v>
      </c>
      <c r="CA12" s="3273">
        <v>844</v>
      </c>
      <c r="CB12" s="3273">
        <v>1026</v>
      </c>
      <c r="CC12" s="3273">
        <v>860</v>
      </c>
      <c r="CD12" s="3273">
        <v>1550</v>
      </c>
      <c r="CE12" s="3273">
        <v>1310</v>
      </c>
      <c r="CF12" s="3273">
        <v>1292</v>
      </c>
      <c r="CG12" s="3273">
        <v>1197</v>
      </c>
      <c r="CH12" s="3273">
        <v>1162</v>
      </c>
      <c r="CI12" s="3275">
        <v>751</v>
      </c>
      <c r="CJ12" s="3349">
        <v>877</v>
      </c>
      <c r="CK12" s="3350">
        <v>898</v>
      </c>
      <c r="CL12" s="3350">
        <v>932</v>
      </c>
      <c r="CM12" s="3350">
        <v>964</v>
      </c>
      <c r="CN12" s="3350">
        <v>964</v>
      </c>
      <c r="CO12" s="3350">
        <v>934</v>
      </c>
      <c r="CP12" s="3350">
        <v>1664</v>
      </c>
      <c r="CQ12" s="3350">
        <v>1228</v>
      </c>
      <c r="CR12" s="3350">
        <v>1269</v>
      </c>
      <c r="CS12" s="3350">
        <v>1389</v>
      </c>
      <c r="CT12" s="3350">
        <v>1581</v>
      </c>
      <c r="CU12" s="3351">
        <v>983</v>
      </c>
      <c r="CV12" s="3349">
        <v>1065</v>
      </c>
      <c r="CW12" s="3350">
        <v>1008</v>
      </c>
      <c r="CX12" s="3272">
        <v>802</v>
      </c>
      <c r="CY12" s="3272">
        <v>921</v>
      </c>
      <c r="CZ12" s="3272">
        <v>958</v>
      </c>
      <c r="DA12" s="3272">
        <v>965</v>
      </c>
      <c r="DB12" s="3272">
        <v>1548</v>
      </c>
      <c r="DC12" s="3272">
        <v>1233</v>
      </c>
      <c r="DD12" s="3272">
        <v>1512</v>
      </c>
      <c r="DE12" s="3272">
        <v>1510</v>
      </c>
      <c r="DF12" s="3272">
        <v>1671</v>
      </c>
      <c r="DG12" s="3351">
        <v>856</v>
      </c>
      <c r="DH12" s="3352">
        <v>953</v>
      </c>
      <c r="DI12" s="3353">
        <v>996</v>
      </c>
      <c r="DJ12" s="3353">
        <v>916</v>
      </c>
      <c r="DK12" s="3354">
        <v>945</v>
      </c>
      <c r="DL12" s="3354">
        <v>905</v>
      </c>
      <c r="DM12" s="3354">
        <v>1030</v>
      </c>
      <c r="DN12" s="3354">
        <v>1552</v>
      </c>
      <c r="DO12" s="3354">
        <v>1191</v>
      </c>
      <c r="DP12" s="2556">
        <v>950</v>
      </c>
      <c r="DQ12" s="3354">
        <v>1536</v>
      </c>
      <c r="DR12" s="3354">
        <v>1546</v>
      </c>
      <c r="DS12" s="3355">
        <v>835</v>
      </c>
      <c r="DT12" s="3356">
        <v>933</v>
      </c>
      <c r="DU12" s="3243">
        <v>916</v>
      </c>
      <c r="DV12" s="3243">
        <v>937</v>
      </c>
      <c r="DW12" s="3164">
        <v>939</v>
      </c>
      <c r="DX12" s="3164">
        <v>912</v>
      </c>
      <c r="DY12" s="3164">
        <v>911</v>
      </c>
      <c r="DZ12" s="3164">
        <v>1705</v>
      </c>
      <c r="EA12" s="3164">
        <v>1227</v>
      </c>
      <c r="EB12" s="3164">
        <v>1164</v>
      </c>
      <c r="EC12" s="3164">
        <v>1553</v>
      </c>
      <c r="ED12" s="3164">
        <v>1734</v>
      </c>
      <c r="EE12" s="3163">
        <v>865</v>
      </c>
      <c r="EF12" s="2532">
        <v>1076</v>
      </c>
      <c r="EG12" s="2531">
        <v>1089</v>
      </c>
      <c r="EH12" s="2531">
        <v>834</v>
      </c>
      <c r="EI12" s="2531">
        <v>1162</v>
      </c>
      <c r="EJ12" s="2531">
        <v>1082</v>
      </c>
      <c r="EK12" s="2531">
        <v>1183</v>
      </c>
      <c r="EL12" s="2531">
        <v>1912</v>
      </c>
      <c r="EM12" s="2557">
        <v>1373</v>
      </c>
      <c r="EN12" s="2557">
        <v>1332</v>
      </c>
      <c r="EO12" s="2558">
        <v>1688</v>
      </c>
      <c r="EP12" s="2558">
        <v>1480</v>
      </c>
      <c r="EQ12" s="2559">
        <v>952</v>
      </c>
      <c r="ER12" s="1322">
        <v>1067</v>
      </c>
      <c r="ES12" s="3357">
        <v>1374</v>
      </c>
      <c r="ET12" s="3357">
        <v>865</v>
      </c>
      <c r="EU12" s="2560">
        <v>1271</v>
      </c>
      <c r="EV12" s="2106">
        <v>1648</v>
      </c>
      <c r="EW12" s="2106">
        <v>1645</v>
      </c>
      <c r="EX12" s="2106">
        <v>2746</v>
      </c>
      <c r="EY12" s="2106">
        <v>2514</v>
      </c>
      <c r="EZ12" s="2106">
        <v>2251</v>
      </c>
      <c r="FA12" s="2275">
        <v>1562</v>
      </c>
      <c r="FB12" s="2275">
        <v>1949</v>
      </c>
      <c r="FC12" s="2275">
        <v>1590</v>
      </c>
      <c r="FD12" s="2615">
        <v>1717</v>
      </c>
      <c r="FE12" s="2616">
        <v>1675</v>
      </c>
      <c r="FF12" s="2616">
        <v>661</v>
      </c>
      <c r="FG12" s="2616">
        <v>2</v>
      </c>
      <c r="FH12" s="2616">
        <v>18</v>
      </c>
      <c r="FI12" s="2616">
        <v>11</v>
      </c>
      <c r="FJ12" s="2616">
        <v>68</v>
      </c>
      <c r="FK12" s="2616">
        <v>158</v>
      </c>
      <c r="FL12" s="2616">
        <v>152</v>
      </c>
      <c r="FM12" s="2616">
        <v>261</v>
      </c>
      <c r="FN12" s="2616">
        <v>186</v>
      </c>
      <c r="FO12" s="2617">
        <v>413</v>
      </c>
      <c r="FP12" s="2615">
        <v>386</v>
      </c>
      <c r="FQ12" s="2616">
        <v>209</v>
      </c>
      <c r="FR12" s="2616">
        <v>211</v>
      </c>
      <c r="FS12" s="2616">
        <v>238</v>
      </c>
      <c r="FT12" s="2616">
        <v>278</v>
      </c>
      <c r="FU12" s="2616">
        <v>367</v>
      </c>
      <c r="FV12" s="2616">
        <v>1003</v>
      </c>
      <c r="FW12" s="2616">
        <v>916</v>
      </c>
      <c r="FX12" s="2616">
        <v>816</v>
      </c>
      <c r="FY12" s="2616">
        <v>990</v>
      </c>
      <c r="FZ12" s="2616">
        <v>924</v>
      </c>
      <c r="GA12" s="2617">
        <v>826</v>
      </c>
      <c r="GB12" s="4656">
        <v>753</v>
      </c>
      <c r="GC12" s="4657">
        <v>835</v>
      </c>
      <c r="GD12" s="4657">
        <v>741</v>
      </c>
      <c r="GE12" s="4657">
        <v>954</v>
      </c>
      <c r="GF12" s="4657">
        <v>1131</v>
      </c>
      <c r="GG12" s="4657"/>
      <c r="GH12" s="4657"/>
      <c r="GI12" s="4657"/>
      <c r="GJ12" s="4657"/>
      <c r="GK12" s="4657"/>
      <c r="GL12" s="4657"/>
      <c r="GM12" s="4658"/>
      <c r="GN12" s="2607"/>
      <c r="GO12" s="2754">
        <v>2016</v>
      </c>
      <c r="GP12" s="2755">
        <v>2272</v>
      </c>
      <c r="GQ12" s="2755">
        <v>3666</v>
      </c>
      <c r="GR12" s="2756">
        <v>2967</v>
      </c>
      <c r="GS12" s="2757">
        <v>2796</v>
      </c>
      <c r="GT12" s="2758">
        <v>3057</v>
      </c>
      <c r="GU12" s="2758">
        <v>4384</v>
      </c>
      <c r="GV12" s="2759">
        <v>3250</v>
      </c>
      <c r="GW12" s="2760">
        <v>2794</v>
      </c>
      <c r="GX12" s="2761">
        <v>2895</v>
      </c>
      <c r="GY12" s="2762">
        <v>4561</v>
      </c>
      <c r="GZ12" s="2762">
        <v>3310</v>
      </c>
      <c r="HA12" s="2763">
        <v>2598</v>
      </c>
      <c r="HB12" s="2764">
        <v>2708</v>
      </c>
      <c r="HC12" s="2764">
        <v>4390</v>
      </c>
      <c r="HD12" s="2765">
        <v>3581</v>
      </c>
      <c r="HE12" s="2766">
        <v>2450</v>
      </c>
      <c r="HF12" s="2767">
        <v>2864</v>
      </c>
      <c r="HG12" s="2767">
        <v>4040</v>
      </c>
      <c r="HH12" s="2768">
        <v>3396</v>
      </c>
      <c r="HI12" s="2764">
        <v>2274</v>
      </c>
      <c r="HJ12" s="2764">
        <v>2312</v>
      </c>
      <c r="HK12" s="2764">
        <v>4170</v>
      </c>
      <c r="HL12" s="2764">
        <v>3335</v>
      </c>
      <c r="HM12" s="2769">
        <v>2657</v>
      </c>
      <c r="HN12" s="2769">
        <v>2730</v>
      </c>
      <c r="HO12" s="2769">
        <v>4152</v>
      </c>
      <c r="HP12" s="2769">
        <v>3110</v>
      </c>
      <c r="HQ12" s="2770">
        <v>2707</v>
      </c>
      <c r="HR12" s="2770">
        <v>2862</v>
      </c>
      <c r="HS12" s="2770">
        <f t="shared" si="1"/>
        <v>4161</v>
      </c>
      <c r="HT12" s="2770">
        <v>3953</v>
      </c>
      <c r="HU12" s="2771">
        <v>2875</v>
      </c>
      <c r="HV12" s="2771">
        <f t="shared" si="2"/>
        <v>2844</v>
      </c>
      <c r="HW12" s="2771">
        <f t="shared" si="3"/>
        <v>4293</v>
      </c>
      <c r="HX12" s="2770">
        <f t="shared" si="4"/>
        <v>4037</v>
      </c>
      <c r="HY12" s="2689">
        <f t="shared" si="5"/>
        <v>2865</v>
      </c>
      <c r="HZ12" s="2689">
        <f t="shared" si="6"/>
        <v>2880</v>
      </c>
      <c r="IA12" s="2689">
        <f t="shared" si="7"/>
        <v>3578</v>
      </c>
      <c r="IB12" s="2689">
        <f t="shared" si="8"/>
        <v>3917</v>
      </c>
      <c r="IC12" s="2764">
        <f t="shared" si="9"/>
        <v>2786</v>
      </c>
      <c r="ID12" s="2764">
        <f t="shared" si="10"/>
        <v>2762</v>
      </c>
      <c r="IE12" s="2764">
        <f t="shared" si="11"/>
        <v>4096</v>
      </c>
      <c r="IF12" s="2764">
        <f t="shared" si="12"/>
        <v>4152</v>
      </c>
      <c r="IG12" s="2772">
        <f t="shared" si="13"/>
        <v>2999</v>
      </c>
      <c r="IH12" s="2769">
        <f t="shared" si="14"/>
        <v>3427</v>
      </c>
      <c r="II12" s="2769">
        <f t="shared" si="15"/>
        <v>4617</v>
      </c>
      <c r="IJ12" s="2769">
        <f t="shared" si="16"/>
        <v>4120</v>
      </c>
      <c r="IK12" s="2773">
        <f t="shared" si="17"/>
        <v>3306</v>
      </c>
      <c r="IL12" s="2774">
        <f t="shared" si="18"/>
        <v>4564</v>
      </c>
      <c r="IM12" s="2774">
        <f t="shared" si="19"/>
        <v>7511</v>
      </c>
      <c r="IN12" s="2774">
        <f t="shared" si="20"/>
        <v>5101</v>
      </c>
      <c r="IO12" s="2775">
        <f t="shared" si="21"/>
        <v>4053</v>
      </c>
      <c r="IP12" s="2776">
        <f t="shared" si="22"/>
        <v>31</v>
      </c>
      <c r="IQ12" s="2776">
        <f t="shared" si="23"/>
        <v>7511</v>
      </c>
      <c r="IR12" s="2777">
        <f t="shared" si="24"/>
        <v>860</v>
      </c>
      <c r="IS12" s="2772">
        <f t="shared" si="25"/>
        <v>806</v>
      </c>
      <c r="IT12" s="2769">
        <f t="shared" si="26"/>
        <v>883</v>
      </c>
      <c r="IU12" s="2769">
        <f t="shared" si="27"/>
        <v>2735</v>
      </c>
      <c r="IV12" s="2769">
        <f t="shared" si="28"/>
        <v>2740</v>
      </c>
      <c r="IW12" s="3976">
        <f t="shared" si="46"/>
        <v>2329</v>
      </c>
      <c r="IX12" s="2764">
        <f t="shared" si="47"/>
        <v>2085</v>
      </c>
      <c r="IY12" s="2764">
        <f t="shared" si="48"/>
        <v>0</v>
      </c>
      <c r="IZ12" s="3977">
        <f t="shared" si="49"/>
        <v>0</v>
      </c>
      <c r="JA12" s="3957"/>
      <c r="JB12" s="3358">
        <v>10921</v>
      </c>
      <c r="JC12" s="3359">
        <v>13487</v>
      </c>
      <c r="JD12" s="3359">
        <v>13560</v>
      </c>
      <c r="JE12" s="3359">
        <v>13277</v>
      </c>
      <c r="JF12" s="3359">
        <v>12750</v>
      </c>
      <c r="JG12" s="3359">
        <v>12091</v>
      </c>
      <c r="JH12" s="3360">
        <v>12649</v>
      </c>
      <c r="JI12" s="3361">
        <v>13683</v>
      </c>
      <c r="JJ12" s="3361">
        <f t="shared" si="29"/>
        <v>14049</v>
      </c>
      <c r="JK12" s="3361">
        <f t="shared" si="30"/>
        <v>13355</v>
      </c>
      <c r="JL12" s="3361">
        <f t="shared" si="31"/>
        <v>13796</v>
      </c>
      <c r="JM12" s="3361">
        <f t="shared" si="32"/>
        <v>15163</v>
      </c>
      <c r="JN12" s="3362">
        <f t="shared" si="0"/>
        <v>20482</v>
      </c>
      <c r="JO12" s="3380">
        <f t="shared" si="33"/>
        <v>5322</v>
      </c>
      <c r="JP12" s="3378">
        <f t="shared" si="50"/>
        <v>7164</v>
      </c>
      <c r="JQ12" s="3377">
        <f t="shared" si="51"/>
        <v>10256</v>
      </c>
      <c r="JS12" s="4673">
        <f t="shared" si="52"/>
        <v>595</v>
      </c>
      <c r="JT12" s="3579">
        <f t="shared" si="53"/>
        <v>4414</v>
      </c>
      <c r="JU12" s="2525"/>
      <c r="JV12" s="3365">
        <f t="shared" si="54"/>
        <v>7580.666666666667</v>
      </c>
      <c r="JW12" s="3366">
        <f t="shared" si="34"/>
        <v>2.1278595851669625E-2</v>
      </c>
      <c r="JX12" s="3366">
        <f t="shared" si="35"/>
        <v>2.1129338322119794E-2</v>
      </c>
      <c r="JY12" s="3366">
        <f t="shared" si="55"/>
        <v>2.207132459970888E-2</v>
      </c>
      <c r="JZ12" s="3366">
        <f t="shared" si="36"/>
        <v>2.9813682678311498E-2</v>
      </c>
      <c r="KA12" s="3366">
        <f t="shared" si="37"/>
        <v>2.7882121807465618E-2</v>
      </c>
      <c r="KB12" s="4688">
        <f t="shared" si="38"/>
        <v>2.5495024840211249E-2</v>
      </c>
      <c r="KC12" s="4691">
        <f t="shared" si="56"/>
        <v>2.1438530407135586E-2</v>
      </c>
      <c r="KD12" s="3366"/>
      <c r="KE12" s="3368">
        <f t="shared" si="39"/>
        <v>3.3021340321976789E-2</v>
      </c>
      <c r="KF12" s="3369">
        <f t="shared" si="40"/>
        <v>-0.4323723948583551</v>
      </c>
      <c r="KG12" s="3369">
        <f t="shared" si="41"/>
        <v>9.908669179472307E-2</v>
      </c>
      <c r="KH12" s="3369">
        <f t="shared" si="42"/>
        <v>0.35078810261821536</v>
      </c>
      <c r="KI12" s="3369">
        <f t="shared" si="43"/>
        <v>-0.74016209354555218</v>
      </c>
      <c r="KJ12" s="3368">
        <f t="shared" si="44"/>
        <v>-0.65022946977834195</v>
      </c>
      <c r="KK12" s="3369">
        <f t="shared" si="57"/>
        <v>0.34611048478015793</v>
      </c>
      <c r="KL12" s="4678">
        <f t="shared" si="45"/>
        <v>-0.4992676496435895</v>
      </c>
      <c r="KM12" s="4678">
        <f t="shared" si="58"/>
        <v>0.43160245672808495</v>
      </c>
      <c r="KN12" s="3045"/>
      <c r="KO12" s="3045"/>
      <c r="KP12" s="3045"/>
      <c r="KQ12" s="3045"/>
      <c r="KR12" s="3045"/>
      <c r="KS12" s="3045"/>
      <c r="KT12" s="3045"/>
      <c r="KU12" s="3045"/>
      <c r="KV12" s="3045"/>
      <c r="KW12" s="3045"/>
      <c r="KX12" s="3045"/>
      <c r="KY12" s="3045"/>
      <c r="KZ12" s="3045"/>
      <c r="LA12" s="3045"/>
      <c r="LB12" s="3045"/>
      <c r="LC12" s="3045"/>
      <c r="LD12" s="3045"/>
      <c r="LE12" s="3045"/>
      <c r="LF12" s="3045"/>
      <c r="LG12" s="3045"/>
      <c r="LH12" s="3045"/>
      <c r="LI12" s="3045"/>
      <c r="LJ12" s="3045"/>
      <c r="LK12" s="2525"/>
      <c r="LL12" s="2525"/>
      <c r="LM12" s="2525"/>
      <c r="LN12" s="2525"/>
      <c r="LO12" s="2525"/>
      <c r="LP12" s="2525"/>
      <c r="LQ12" s="2525"/>
      <c r="LR12" s="2525"/>
    </row>
    <row r="13" spans="1:330" ht="21.9" customHeight="1">
      <c r="A13" s="3382"/>
      <c r="B13" s="3045"/>
      <c r="C13" s="3381" t="s">
        <v>1619</v>
      </c>
      <c r="D13" s="3330">
        <v>753</v>
      </c>
      <c r="E13" s="3331">
        <v>714</v>
      </c>
      <c r="F13" s="3331">
        <v>737</v>
      </c>
      <c r="G13" s="3331">
        <v>613</v>
      </c>
      <c r="H13" s="3331">
        <v>651</v>
      </c>
      <c r="I13" s="3331">
        <v>747</v>
      </c>
      <c r="J13" s="3331">
        <v>827</v>
      </c>
      <c r="K13" s="3331">
        <v>1300</v>
      </c>
      <c r="L13" s="3331">
        <v>952</v>
      </c>
      <c r="M13" s="3331">
        <v>1111</v>
      </c>
      <c r="N13" s="3331">
        <v>1099</v>
      </c>
      <c r="O13" s="3332">
        <v>1314</v>
      </c>
      <c r="P13" s="3333">
        <v>827</v>
      </c>
      <c r="Q13" s="3334">
        <v>1276</v>
      </c>
      <c r="R13" s="3334">
        <v>1217</v>
      </c>
      <c r="S13" s="3334">
        <v>1118</v>
      </c>
      <c r="T13" s="3334">
        <v>1255</v>
      </c>
      <c r="U13" s="3334">
        <v>1036</v>
      </c>
      <c r="V13" s="3334">
        <v>1195</v>
      </c>
      <c r="W13" s="3334">
        <v>1641</v>
      </c>
      <c r="X13" s="3334">
        <v>1154</v>
      </c>
      <c r="Y13" s="3334">
        <v>1777</v>
      </c>
      <c r="Z13" s="3334">
        <v>1428</v>
      </c>
      <c r="AA13" s="3335">
        <v>2225</v>
      </c>
      <c r="AB13" s="3336">
        <v>1083</v>
      </c>
      <c r="AC13" s="3337">
        <v>1249</v>
      </c>
      <c r="AD13" s="3337">
        <v>1024</v>
      </c>
      <c r="AE13" s="3337">
        <v>1356</v>
      </c>
      <c r="AF13" s="3337">
        <v>1292</v>
      </c>
      <c r="AG13" s="3337">
        <v>1228</v>
      </c>
      <c r="AH13" s="3337">
        <v>1508</v>
      </c>
      <c r="AI13" s="3337">
        <v>2113</v>
      </c>
      <c r="AJ13" s="3337">
        <v>1520</v>
      </c>
      <c r="AK13" s="3337">
        <v>1841</v>
      </c>
      <c r="AL13" s="3337">
        <v>2046</v>
      </c>
      <c r="AM13" s="3338">
        <v>3228</v>
      </c>
      <c r="AN13" s="3339">
        <v>1651</v>
      </c>
      <c r="AO13" s="3340">
        <v>2875</v>
      </c>
      <c r="AP13" s="3340">
        <v>1387</v>
      </c>
      <c r="AQ13" s="3340">
        <v>1111</v>
      </c>
      <c r="AR13" s="3340">
        <v>1191</v>
      </c>
      <c r="AS13" s="3340">
        <v>1113</v>
      </c>
      <c r="AT13" s="3340">
        <v>1335</v>
      </c>
      <c r="AU13" s="3340">
        <v>1591</v>
      </c>
      <c r="AV13" s="3340">
        <v>1306</v>
      </c>
      <c r="AW13" s="3340">
        <v>1534</v>
      </c>
      <c r="AX13" s="3340">
        <v>1720</v>
      </c>
      <c r="AY13" s="3341">
        <v>1968</v>
      </c>
      <c r="AZ13" s="3277">
        <v>1032</v>
      </c>
      <c r="BA13" s="3277">
        <v>1376</v>
      </c>
      <c r="BB13" s="3277">
        <v>1492</v>
      </c>
      <c r="BC13" s="3277">
        <v>1632</v>
      </c>
      <c r="BD13" s="3277">
        <v>1480</v>
      </c>
      <c r="BE13" s="3277">
        <v>1340</v>
      </c>
      <c r="BF13" s="3277">
        <v>1534</v>
      </c>
      <c r="BG13" s="3277">
        <v>1989</v>
      </c>
      <c r="BH13" s="3277">
        <v>2317</v>
      </c>
      <c r="BI13" s="3277">
        <v>2313</v>
      </c>
      <c r="BJ13" s="3277">
        <v>2294</v>
      </c>
      <c r="BK13" s="3374">
        <v>2927</v>
      </c>
      <c r="BL13" s="3344">
        <v>1103</v>
      </c>
      <c r="BM13" s="3345">
        <v>1731</v>
      </c>
      <c r="BN13" s="3345">
        <v>1529</v>
      </c>
      <c r="BO13" s="3345">
        <v>1459</v>
      </c>
      <c r="BP13" s="3345">
        <v>1418</v>
      </c>
      <c r="BQ13" s="3345">
        <v>1675</v>
      </c>
      <c r="BR13" s="3345">
        <v>1770</v>
      </c>
      <c r="BS13" s="3345">
        <v>2101</v>
      </c>
      <c r="BT13" s="3346">
        <v>2091</v>
      </c>
      <c r="BU13" s="3346">
        <v>2502</v>
      </c>
      <c r="BV13" s="3346">
        <v>4173</v>
      </c>
      <c r="BW13" s="3347">
        <v>4955</v>
      </c>
      <c r="BX13" s="3348">
        <v>3054</v>
      </c>
      <c r="BY13" s="3273">
        <v>4459</v>
      </c>
      <c r="BZ13" s="3273">
        <v>4045</v>
      </c>
      <c r="CA13" s="3273">
        <v>4332</v>
      </c>
      <c r="CB13" s="3273">
        <v>4937</v>
      </c>
      <c r="CC13" s="3273">
        <v>5647</v>
      </c>
      <c r="CD13" s="3273">
        <v>7092</v>
      </c>
      <c r="CE13" s="3273">
        <v>7074</v>
      </c>
      <c r="CF13" s="3273">
        <v>7620</v>
      </c>
      <c r="CG13" s="3273">
        <v>10699</v>
      </c>
      <c r="CH13" s="3273">
        <v>11241</v>
      </c>
      <c r="CI13" s="3275">
        <v>7989</v>
      </c>
      <c r="CJ13" s="3349">
        <v>4693</v>
      </c>
      <c r="CK13" s="3350">
        <v>5741</v>
      </c>
      <c r="CL13" s="3350">
        <v>5725</v>
      </c>
      <c r="CM13" s="3350">
        <v>5619</v>
      </c>
      <c r="CN13" s="3350">
        <v>5346</v>
      </c>
      <c r="CO13" s="3350">
        <v>6807</v>
      </c>
      <c r="CP13" s="3350">
        <v>6926</v>
      </c>
      <c r="CQ13" s="3350">
        <v>8583</v>
      </c>
      <c r="CR13" s="3350">
        <v>9992</v>
      </c>
      <c r="CS13" s="3350">
        <v>9297</v>
      </c>
      <c r="CT13" s="3350">
        <v>10296</v>
      </c>
      <c r="CU13" s="3351">
        <v>11157</v>
      </c>
      <c r="CV13" s="3349">
        <v>2358</v>
      </c>
      <c r="CW13" s="3350">
        <v>2290</v>
      </c>
      <c r="CX13" s="3272">
        <v>4142</v>
      </c>
      <c r="CY13" s="3272">
        <v>6065</v>
      </c>
      <c r="CZ13" s="3272">
        <v>5121</v>
      </c>
      <c r="DA13" s="3272">
        <v>3749</v>
      </c>
      <c r="DB13" s="3272">
        <v>2801</v>
      </c>
      <c r="DC13" s="3272">
        <v>3138</v>
      </c>
      <c r="DD13" s="3272">
        <v>4863</v>
      </c>
      <c r="DE13" s="3272">
        <v>5562</v>
      </c>
      <c r="DF13" s="3272">
        <v>6086</v>
      </c>
      <c r="DG13" s="3351">
        <v>5218</v>
      </c>
      <c r="DH13" s="3352">
        <v>3766</v>
      </c>
      <c r="DI13" s="3353">
        <v>3119</v>
      </c>
      <c r="DJ13" s="3353">
        <v>3278</v>
      </c>
      <c r="DK13" s="3354">
        <v>2499</v>
      </c>
      <c r="DL13" s="3354">
        <v>2287</v>
      </c>
      <c r="DM13" s="3354">
        <v>1861</v>
      </c>
      <c r="DN13" s="3354">
        <v>1997</v>
      </c>
      <c r="DO13" s="3354">
        <v>1859</v>
      </c>
      <c r="DP13" s="2556">
        <v>1632</v>
      </c>
      <c r="DQ13" s="3354">
        <v>1802</v>
      </c>
      <c r="DR13" s="3354">
        <v>2234</v>
      </c>
      <c r="DS13" s="3355">
        <v>2275</v>
      </c>
      <c r="DT13" s="3356">
        <v>2611</v>
      </c>
      <c r="DU13" s="3243">
        <v>2623</v>
      </c>
      <c r="DV13" s="3243">
        <v>3077</v>
      </c>
      <c r="DW13" s="3164">
        <v>1899</v>
      </c>
      <c r="DX13" s="3164">
        <v>1788</v>
      </c>
      <c r="DY13" s="3164">
        <v>1844</v>
      </c>
      <c r="DZ13" s="3164">
        <v>2187</v>
      </c>
      <c r="EA13" s="3164">
        <v>1627</v>
      </c>
      <c r="EB13" s="3164">
        <v>1459</v>
      </c>
      <c r="EC13" s="3164">
        <v>1321</v>
      </c>
      <c r="ED13" s="3164">
        <v>1420</v>
      </c>
      <c r="EE13" s="3163">
        <v>1417</v>
      </c>
      <c r="EF13" s="2532">
        <v>1226</v>
      </c>
      <c r="EG13" s="2531">
        <v>1186</v>
      </c>
      <c r="EH13" s="2531">
        <v>1106</v>
      </c>
      <c r="EI13" s="2531">
        <v>1006</v>
      </c>
      <c r="EJ13" s="2531">
        <v>1115</v>
      </c>
      <c r="EK13" s="2531">
        <v>1223</v>
      </c>
      <c r="EL13" s="2531">
        <v>1373</v>
      </c>
      <c r="EM13" s="2557">
        <v>1180</v>
      </c>
      <c r="EN13" s="2557">
        <v>1316</v>
      </c>
      <c r="EO13" s="2558">
        <v>1366</v>
      </c>
      <c r="EP13" s="2558">
        <v>1417</v>
      </c>
      <c r="EQ13" s="2559">
        <v>1480</v>
      </c>
      <c r="ER13" s="1323">
        <v>839</v>
      </c>
      <c r="ES13" s="3357">
        <v>615</v>
      </c>
      <c r="ET13" s="3357">
        <v>713</v>
      </c>
      <c r="EU13" s="2560">
        <v>970</v>
      </c>
      <c r="EV13" s="2107">
        <v>1338</v>
      </c>
      <c r="EW13" s="2107">
        <v>1196</v>
      </c>
      <c r="EX13" s="2107">
        <v>1791</v>
      </c>
      <c r="EY13" s="2107">
        <v>1978</v>
      </c>
      <c r="EZ13" s="2107">
        <v>959</v>
      </c>
      <c r="FA13" s="2275">
        <v>956</v>
      </c>
      <c r="FB13" s="2275">
        <v>1165</v>
      </c>
      <c r="FC13" s="2275">
        <v>1300</v>
      </c>
      <c r="FD13" s="2615">
        <v>1957</v>
      </c>
      <c r="FE13" s="2616">
        <v>980</v>
      </c>
      <c r="FF13" s="2616">
        <v>604</v>
      </c>
      <c r="FG13" s="2616">
        <v>15</v>
      </c>
      <c r="FH13" s="2616">
        <v>28</v>
      </c>
      <c r="FI13" s="2616">
        <v>30</v>
      </c>
      <c r="FJ13" s="2616">
        <v>79</v>
      </c>
      <c r="FK13" s="2616">
        <v>74</v>
      </c>
      <c r="FL13" s="2616">
        <v>158</v>
      </c>
      <c r="FM13" s="2616">
        <v>136</v>
      </c>
      <c r="FN13" s="2616">
        <v>327</v>
      </c>
      <c r="FO13" s="2617">
        <v>284</v>
      </c>
      <c r="FP13" s="2615">
        <v>388</v>
      </c>
      <c r="FQ13" s="2616">
        <v>282</v>
      </c>
      <c r="FR13" s="2616">
        <v>283</v>
      </c>
      <c r="FS13" s="2616">
        <v>342</v>
      </c>
      <c r="FT13" s="2616">
        <v>477</v>
      </c>
      <c r="FU13" s="2616">
        <v>514</v>
      </c>
      <c r="FV13" s="2616">
        <v>574</v>
      </c>
      <c r="FW13" s="2616">
        <v>560</v>
      </c>
      <c r="FX13" s="2616">
        <v>593</v>
      </c>
      <c r="FY13" s="2616">
        <v>610</v>
      </c>
      <c r="FZ13" s="2616">
        <v>716</v>
      </c>
      <c r="GA13" s="2617">
        <v>640</v>
      </c>
      <c r="GB13" s="4659">
        <v>932</v>
      </c>
      <c r="GC13" s="4660">
        <v>480</v>
      </c>
      <c r="GD13" s="4660">
        <v>581</v>
      </c>
      <c r="GE13" s="4660">
        <v>629</v>
      </c>
      <c r="GF13" s="4660">
        <v>787</v>
      </c>
      <c r="GG13" s="4660"/>
      <c r="GH13" s="4660"/>
      <c r="GI13" s="4660"/>
      <c r="GJ13" s="4660"/>
      <c r="GK13" s="4660"/>
      <c r="GL13" s="4660"/>
      <c r="GM13" s="4661"/>
      <c r="GN13" s="2607"/>
      <c r="GO13" s="2754">
        <v>2204</v>
      </c>
      <c r="GP13" s="2755">
        <v>2011</v>
      </c>
      <c r="GQ13" s="2755">
        <v>3079</v>
      </c>
      <c r="GR13" s="2756">
        <v>3524</v>
      </c>
      <c r="GS13" s="2757">
        <v>3320</v>
      </c>
      <c r="GT13" s="2758">
        <v>3409</v>
      </c>
      <c r="GU13" s="2758">
        <v>3990</v>
      </c>
      <c r="GV13" s="2759">
        <v>5430</v>
      </c>
      <c r="GW13" s="2760">
        <v>3356</v>
      </c>
      <c r="GX13" s="2761">
        <v>3876</v>
      </c>
      <c r="GY13" s="2762">
        <v>5141</v>
      </c>
      <c r="GZ13" s="2762">
        <v>7115</v>
      </c>
      <c r="HA13" s="2763">
        <v>5913</v>
      </c>
      <c r="HB13" s="2764">
        <v>3415</v>
      </c>
      <c r="HC13" s="2764">
        <v>4232</v>
      </c>
      <c r="HD13" s="2765">
        <v>5222</v>
      </c>
      <c r="HE13" s="2766">
        <v>3900</v>
      </c>
      <c r="HF13" s="2767">
        <v>4452</v>
      </c>
      <c r="HG13" s="2767">
        <v>5840</v>
      </c>
      <c r="HH13" s="2768">
        <v>7534</v>
      </c>
      <c r="HI13" s="2764">
        <v>4363</v>
      </c>
      <c r="HJ13" s="2764">
        <v>4552</v>
      </c>
      <c r="HK13" s="2764">
        <v>5962</v>
      </c>
      <c r="HL13" s="2764">
        <v>11630</v>
      </c>
      <c r="HM13" s="2769">
        <v>11558</v>
      </c>
      <c r="HN13" s="2769">
        <v>14916</v>
      </c>
      <c r="HO13" s="2769">
        <v>21786</v>
      </c>
      <c r="HP13" s="2769">
        <v>29929</v>
      </c>
      <c r="HQ13" s="2770">
        <v>16159</v>
      </c>
      <c r="HR13" s="2770">
        <v>17772</v>
      </c>
      <c r="HS13" s="2770">
        <f t="shared" si="1"/>
        <v>25501</v>
      </c>
      <c r="HT13" s="2770">
        <v>30750</v>
      </c>
      <c r="HU13" s="2771">
        <v>8790</v>
      </c>
      <c r="HV13" s="2771">
        <f t="shared" si="2"/>
        <v>14935</v>
      </c>
      <c r="HW13" s="2771">
        <f t="shared" si="3"/>
        <v>10802</v>
      </c>
      <c r="HX13" s="2770">
        <f t="shared" si="4"/>
        <v>16866</v>
      </c>
      <c r="HY13" s="2689">
        <f t="shared" si="5"/>
        <v>10163</v>
      </c>
      <c r="HZ13" s="2689">
        <f t="shared" si="6"/>
        <v>6647</v>
      </c>
      <c r="IA13" s="2689">
        <f t="shared" si="7"/>
        <v>6131</v>
      </c>
      <c r="IB13" s="2689">
        <f t="shared" si="8"/>
        <v>6311</v>
      </c>
      <c r="IC13" s="2764">
        <f t="shared" si="9"/>
        <v>8311</v>
      </c>
      <c r="ID13" s="2764">
        <f t="shared" si="10"/>
        <v>5531</v>
      </c>
      <c r="IE13" s="2764">
        <f t="shared" si="11"/>
        <v>5273</v>
      </c>
      <c r="IF13" s="2764">
        <f t="shared" si="12"/>
        <v>4158</v>
      </c>
      <c r="IG13" s="2772">
        <f t="shared" si="13"/>
        <v>3518</v>
      </c>
      <c r="IH13" s="2769">
        <f t="shared" si="14"/>
        <v>3344</v>
      </c>
      <c r="II13" s="2769">
        <f t="shared" si="15"/>
        <v>3869</v>
      </c>
      <c r="IJ13" s="2769">
        <f t="shared" si="16"/>
        <v>4263</v>
      </c>
      <c r="IK13" s="2773">
        <f t="shared" si="17"/>
        <v>2167</v>
      </c>
      <c r="IL13" s="2774">
        <f t="shared" si="18"/>
        <v>3504</v>
      </c>
      <c r="IM13" s="2774">
        <f t="shared" si="19"/>
        <v>4728</v>
      </c>
      <c r="IN13" s="2774">
        <f t="shared" si="20"/>
        <v>3421</v>
      </c>
      <c r="IO13" s="2775">
        <f t="shared" si="21"/>
        <v>3541</v>
      </c>
      <c r="IP13" s="2776">
        <f t="shared" si="22"/>
        <v>73</v>
      </c>
      <c r="IQ13" s="2776">
        <f t="shared" si="23"/>
        <v>4728</v>
      </c>
      <c r="IR13" s="2777">
        <f t="shared" si="24"/>
        <v>747</v>
      </c>
      <c r="IS13" s="2772">
        <f t="shared" si="25"/>
        <v>953</v>
      </c>
      <c r="IT13" s="2769">
        <f t="shared" si="26"/>
        <v>1333</v>
      </c>
      <c r="IU13" s="2769">
        <f t="shared" si="27"/>
        <v>1727</v>
      </c>
      <c r="IV13" s="2769">
        <f t="shared" si="28"/>
        <v>1966</v>
      </c>
      <c r="IW13" s="3961">
        <f t="shared" si="46"/>
        <v>1993</v>
      </c>
      <c r="IX13" s="3953">
        <f t="shared" si="47"/>
        <v>1416</v>
      </c>
      <c r="IY13" s="3953">
        <f t="shared" si="48"/>
        <v>0</v>
      </c>
      <c r="IZ13" s="3962">
        <f t="shared" si="49"/>
        <v>0</v>
      </c>
      <c r="JA13" s="3957"/>
      <c r="JB13" s="3358">
        <v>10818</v>
      </c>
      <c r="JC13" s="3359">
        <v>16149</v>
      </c>
      <c r="JD13" s="3359">
        <v>19488</v>
      </c>
      <c r="JE13" s="3359">
        <v>18782</v>
      </c>
      <c r="JF13" s="3359">
        <v>21726</v>
      </c>
      <c r="JG13" s="3359">
        <v>26507</v>
      </c>
      <c r="JH13" s="3360">
        <v>78189</v>
      </c>
      <c r="JI13" s="3361">
        <v>90182</v>
      </c>
      <c r="JJ13" s="3361">
        <f t="shared" si="29"/>
        <v>51393</v>
      </c>
      <c r="JK13" s="3361">
        <f t="shared" si="30"/>
        <v>28609</v>
      </c>
      <c r="JL13" s="3361">
        <f t="shared" si="31"/>
        <v>23273</v>
      </c>
      <c r="JM13" s="3361">
        <f t="shared" si="32"/>
        <v>14994</v>
      </c>
      <c r="JN13" s="3362">
        <f t="shared" si="0"/>
        <v>13820</v>
      </c>
      <c r="JO13" s="3380">
        <f t="shared" si="33"/>
        <v>4672</v>
      </c>
      <c r="JP13" s="3378">
        <f t="shared" si="50"/>
        <v>5979</v>
      </c>
      <c r="JQ13" s="3377">
        <f t="shared" si="51"/>
        <v>7616</v>
      </c>
      <c r="JS13" s="4673">
        <f t="shared" si="52"/>
        <v>670</v>
      </c>
      <c r="JT13" s="3579">
        <f t="shared" si="53"/>
        <v>3409</v>
      </c>
      <c r="JU13" s="2525"/>
      <c r="JV13" s="3365">
        <f t="shared" si="54"/>
        <v>6089</v>
      </c>
      <c r="JW13" s="3366">
        <f t="shared" si="34"/>
        <v>4.5582878975695719E-2</v>
      </c>
      <c r="JX13" s="3366">
        <f t="shared" si="35"/>
        <v>3.5643888864213831E-2</v>
      </c>
      <c r="JY13" s="3366">
        <f t="shared" si="55"/>
        <v>2.1825327510917029E-2</v>
      </c>
      <c r="JZ13" s="3366">
        <f t="shared" si="36"/>
        <v>2.0116448326055313E-2</v>
      </c>
      <c r="KA13" s="3366">
        <f t="shared" si="37"/>
        <v>2.4476751800916831E-2</v>
      </c>
      <c r="KB13" s="4688">
        <f t="shared" si="38"/>
        <v>2.1277882959188033E-2</v>
      </c>
      <c r="KC13" s="4691">
        <f t="shared" si="56"/>
        <v>1.5920031940400217E-2</v>
      </c>
      <c r="KD13" s="3366"/>
      <c r="KE13" s="3368">
        <f t="shared" si="39"/>
        <v>-0.18651473312593936</v>
      </c>
      <c r="KF13" s="3369">
        <f t="shared" si="40"/>
        <v>-0.78716487818518655</v>
      </c>
      <c r="KG13" s="3369">
        <f t="shared" si="41"/>
        <v>-0.35573411249086928</v>
      </c>
      <c r="KH13" s="3369">
        <f t="shared" si="42"/>
        <v>-7.829798586101111E-2</v>
      </c>
      <c r="KI13" s="3369">
        <f t="shared" si="43"/>
        <v>-0.66193921852387838</v>
      </c>
      <c r="KJ13" s="3368">
        <f t="shared" si="44"/>
        <v>-0.56736613603473229</v>
      </c>
      <c r="KK13" s="3369">
        <f t="shared" si="57"/>
        <v>0.27975171232876717</v>
      </c>
      <c r="KL13" s="4678">
        <f t="shared" si="45"/>
        <v>-0.44891461649782927</v>
      </c>
      <c r="KM13" s="4678">
        <f t="shared" si="58"/>
        <v>0.27379160394714841</v>
      </c>
      <c r="KN13" s="3045"/>
      <c r="KO13" s="3045"/>
      <c r="KP13" s="3045"/>
      <c r="KQ13" s="3045"/>
      <c r="KR13" s="3045"/>
      <c r="KS13" s="3045"/>
      <c r="KT13" s="3045"/>
      <c r="KU13" s="3045"/>
      <c r="KV13" s="3045"/>
      <c r="KW13" s="3045"/>
      <c r="KX13" s="3045"/>
      <c r="KY13" s="3045"/>
      <c r="KZ13" s="3045"/>
      <c r="LA13" s="3045"/>
      <c r="LB13" s="3045"/>
      <c r="LC13" s="3045"/>
      <c r="LD13" s="3045"/>
      <c r="LE13" s="3045"/>
      <c r="LF13" s="3045"/>
      <c r="LG13" s="3045"/>
      <c r="LH13" s="3045"/>
      <c r="LI13" s="3045"/>
      <c r="LJ13" s="3045"/>
      <c r="LK13" s="2525"/>
      <c r="LL13" s="2525"/>
      <c r="LM13" s="2525"/>
      <c r="LN13" s="2525"/>
      <c r="LO13" s="2525"/>
      <c r="LP13" s="2525"/>
      <c r="LQ13" s="2525"/>
      <c r="LR13" s="2525"/>
    </row>
    <row r="14" spans="1:330" ht="21.9" customHeight="1">
      <c r="A14" s="3372"/>
      <c r="B14" s="3045"/>
      <c r="C14" s="3373" t="s">
        <v>14</v>
      </c>
      <c r="D14" s="3330">
        <v>979</v>
      </c>
      <c r="E14" s="3331">
        <v>1028</v>
      </c>
      <c r="F14" s="3331">
        <v>1191</v>
      </c>
      <c r="G14" s="3331">
        <v>822</v>
      </c>
      <c r="H14" s="3331">
        <v>771</v>
      </c>
      <c r="I14" s="3331">
        <v>743</v>
      </c>
      <c r="J14" s="3331">
        <v>1668</v>
      </c>
      <c r="K14" s="3331">
        <v>1648</v>
      </c>
      <c r="L14" s="3331">
        <v>1293</v>
      </c>
      <c r="M14" s="3331">
        <v>1389</v>
      </c>
      <c r="N14" s="3331">
        <v>1328</v>
      </c>
      <c r="O14" s="3332">
        <v>1045</v>
      </c>
      <c r="P14" s="3333">
        <v>1064</v>
      </c>
      <c r="Q14" s="3334">
        <v>1703</v>
      </c>
      <c r="R14" s="3334">
        <v>1525</v>
      </c>
      <c r="S14" s="3334">
        <v>905</v>
      </c>
      <c r="T14" s="3334">
        <v>1008</v>
      </c>
      <c r="U14" s="3334">
        <v>1074</v>
      </c>
      <c r="V14" s="3334">
        <v>1651</v>
      </c>
      <c r="W14" s="3334">
        <v>1896</v>
      </c>
      <c r="X14" s="3334">
        <v>1295</v>
      </c>
      <c r="Y14" s="3334">
        <v>1655</v>
      </c>
      <c r="Z14" s="3334">
        <v>1637</v>
      </c>
      <c r="AA14" s="3335">
        <v>1309</v>
      </c>
      <c r="AB14" s="3336">
        <v>1162</v>
      </c>
      <c r="AC14" s="3337">
        <v>1372</v>
      </c>
      <c r="AD14" s="3337">
        <v>1251</v>
      </c>
      <c r="AE14" s="3337">
        <v>1188</v>
      </c>
      <c r="AF14" s="3337">
        <v>1125.5</v>
      </c>
      <c r="AG14" s="3337">
        <v>1063</v>
      </c>
      <c r="AH14" s="3337">
        <v>1694</v>
      </c>
      <c r="AI14" s="3337">
        <v>1936</v>
      </c>
      <c r="AJ14" s="3337">
        <v>1190</v>
      </c>
      <c r="AK14" s="3337">
        <v>1628</v>
      </c>
      <c r="AL14" s="3337">
        <v>1627</v>
      </c>
      <c r="AM14" s="3338">
        <v>1330</v>
      </c>
      <c r="AN14" s="3339">
        <v>1167</v>
      </c>
      <c r="AO14" s="3340">
        <v>1178</v>
      </c>
      <c r="AP14" s="3340">
        <v>1274</v>
      </c>
      <c r="AQ14" s="3340">
        <v>821</v>
      </c>
      <c r="AR14" s="3340">
        <v>976</v>
      </c>
      <c r="AS14" s="3340">
        <v>1016</v>
      </c>
      <c r="AT14" s="3340">
        <v>1824</v>
      </c>
      <c r="AU14" s="3340">
        <v>1850</v>
      </c>
      <c r="AV14" s="3340">
        <v>1266</v>
      </c>
      <c r="AW14" s="3340">
        <v>1582</v>
      </c>
      <c r="AX14" s="3340">
        <v>1470</v>
      </c>
      <c r="AY14" s="3341">
        <v>1296</v>
      </c>
      <c r="AZ14" s="3277">
        <v>1126</v>
      </c>
      <c r="BA14" s="3277">
        <v>1446</v>
      </c>
      <c r="BB14" s="3277">
        <v>1204</v>
      </c>
      <c r="BC14" s="3277">
        <v>1160</v>
      </c>
      <c r="BD14" s="3277">
        <v>926</v>
      </c>
      <c r="BE14" s="3277">
        <v>1107</v>
      </c>
      <c r="BF14" s="3277">
        <v>1753</v>
      </c>
      <c r="BG14" s="3277">
        <v>2142</v>
      </c>
      <c r="BH14" s="3277">
        <v>1459</v>
      </c>
      <c r="BI14" s="3277">
        <v>1726</v>
      </c>
      <c r="BJ14" s="3277">
        <v>1523</v>
      </c>
      <c r="BK14" s="3374">
        <v>1238</v>
      </c>
      <c r="BL14" s="3344">
        <v>1222</v>
      </c>
      <c r="BM14" s="3345">
        <v>1433</v>
      </c>
      <c r="BN14" s="3345">
        <v>1585</v>
      </c>
      <c r="BO14" s="3345">
        <v>1043</v>
      </c>
      <c r="BP14" s="3345">
        <v>1060</v>
      </c>
      <c r="BQ14" s="3345">
        <v>1097</v>
      </c>
      <c r="BR14" s="3345">
        <v>1975</v>
      </c>
      <c r="BS14" s="3345">
        <v>2483</v>
      </c>
      <c r="BT14" s="3346">
        <v>1516</v>
      </c>
      <c r="BU14" s="3346">
        <v>1776</v>
      </c>
      <c r="BV14" s="3346">
        <v>1812</v>
      </c>
      <c r="BW14" s="3347">
        <v>1505</v>
      </c>
      <c r="BX14" s="3348">
        <v>1259</v>
      </c>
      <c r="BY14" s="3273">
        <v>1498</v>
      </c>
      <c r="BZ14" s="3273">
        <v>1791</v>
      </c>
      <c r="CA14" s="3273">
        <v>999</v>
      </c>
      <c r="CB14" s="3273">
        <v>1135</v>
      </c>
      <c r="CC14" s="3273">
        <v>1094</v>
      </c>
      <c r="CD14" s="3273">
        <v>1954</v>
      </c>
      <c r="CE14" s="3273">
        <v>2103</v>
      </c>
      <c r="CF14" s="3273">
        <v>1514</v>
      </c>
      <c r="CG14" s="3273">
        <v>1650</v>
      </c>
      <c r="CH14" s="3273">
        <v>1669</v>
      </c>
      <c r="CI14" s="3275">
        <v>1507</v>
      </c>
      <c r="CJ14" s="3349">
        <v>1252</v>
      </c>
      <c r="CK14" s="3350">
        <v>1443</v>
      </c>
      <c r="CL14" s="3350">
        <v>1447</v>
      </c>
      <c r="CM14" s="3350">
        <v>1394</v>
      </c>
      <c r="CN14" s="3350">
        <v>1109</v>
      </c>
      <c r="CO14" s="3350">
        <v>986</v>
      </c>
      <c r="CP14" s="3350">
        <v>2241</v>
      </c>
      <c r="CQ14" s="3350">
        <v>2458</v>
      </c>
      <c r="CR14" s="3350">
        <v>1566</v>
      </c>
      <c r="CS14" s="3350">
        <v>1926</v>
      </c>
      <c r="CT14" s="3350">
        <v>1800</v>
      </c>
      <c r="CU14" s="3351">
        <v>1600</v>
      </c>
      <c r="CV14" s="3349">
        <v>1310</v>
      </c>
      <c r="CW14" s="3350">
        <v>1458</v>
      </c>
      <c r="CX14" s="3272">
        <v>1764</v>
      </c>
      <c r="CY14" s="3272">
        <v>1021</v>
      </c>
      <c r="CZ14" s="3272">
        <v>1209</v>
      </c>
      <c r="DA14" s="3272">
        <v>1089</v>
      </c>
      <c r="DB14" s="3272">
        <v>1876</v>
      </c>
      <c r="DC14" s="3272">
        <v>2424</v>
      </c>
      <c r="DD14" s="3272">
        <v>1390</v>
      </c>
      <c r="DE14" s="3272">
        <v>1890</v>
      </c>
      <c r="DF14" s="3272">
        <v>1595</v>
      </c>
      <c r="DG14" s="3351">
        <v>1538</v>
      </c>
      <c r="DH14" s="3352">
        <v>1219</v>
      </c>
      <c r="DI14" s="3353">
        <v>1461</v>
      </c>
      <c r="DJ14" s="3353">
        <v>1530</v>
      </c>
      <c r="DK14" s="3354">
        <v>984</v>
      </c>
      <c r="DL14" s="3354">
        <v>1111</v>
      </c>
      <c r="DM14" s="3354">
        <v>1105</v>
      </c>
      <c r="DN14" s="3354">
        <v>2133</v>
      </c>
      <c r="DO14" s="3354">
        <v>2090</v>
      </c>
      <c r="DP14" s="2556">
        <v>1304</v>
      </c>
      <c r="DQ14" s="3354">
        <v>1939</v>
      </c>
      <c r="DR14" s="3354">
        <v>1447</v>
      </c>
      <c r="DS14" s="3355">
        <v>1384</v>
      </c>
      <c r="DT14" s="3356">
        <v>1181</v>
      </c>
      <c r="DU14" s="3243">
        <v>1257</v>
      </c>
      <c r="DV14" s="3243">
        <v>1493</v>
      </c>
      <c r="DW14" s="3164">
        <v>1328</v>
      </c>
      <c r="DX14" s="3164">
        <v>1017</v>
      </c>
      <c r="DY14" s="3164">
        <v>1177</v>
      </c>
      <c r="DZ14" s="3164">
        <v>1762</v>
      </c>
      <c r="EA14" s="3164">
        <v>2116</v>
      </c>
      <c r="EB14" s="3164">
        <v>1515</v>
      </c>
      <c r="EC14" s="3164">
        <v>2079</v>
      </c>
      <c r="ED14" s="3164">
        <v>1709</v>
      </c>
      <c r="EE14" s="3163">
        <v>1429</v>
      </c>
      <c r="EF14" s="2532">
        <v>1364</v>
      </c>
      <c r="EG14" s="2531">
        <v>1772</v>
      </c>
      <c r="EH14" s="2531">
        <v>1987</v>
      </c>
      <c r="EI14" s="2531">
        <v>1233</v>
      </c>
      <c r="EJ14" s="2531">
        <v>1437</v>
      </c>
      <c r="EK14" s="2531">
        <v>1289</v>
      </c>
      <c r="EL14" s="2531">
        <v>2110</v>
      </c>
      <c r="EM14" s="2557">
        <v>2013</v>
      </c>
      <c r="EN14" s="2557">
        <v>1690</v>
      </c>
      <c r="EO14" s="2558">
        <v>1860</v>
      </c>
      <c r="EP14" s="2558">
        <v>2026</v>
      </c>
      <c r="EQ14" s="2559">
        <v>1630</v>
      </c>
      <c r="ER14" s="1320">
        <v>1437</v>
      </c>
      <c r="ES14" s="3357">
        <v>1736</v>
      </c>
      <c r="ET14" s="3357">
        <v>1752</v>
      </c>
      <c r="EU14" s="2560">
        <v>1612</v>
      </c>
      <c r="EV14" s="2104">
        <v>1388</v>
      </c>
      <c r="EW14" s="2104">
        <v>1538</v>
      </c>
      <c r="EX14" s="2104">
        <v>2642</v>
      </c>
      <c r="EY14" s="2104">
        <v>2517</v>
      </c>
      <c r="EZ14" s="2104">
        <v>1974</v>
      </c>
      <c r="FA14" s="2275">
        <v>1837</v>
      </c>
      <c r="FB14" s="2275">
        <v>2241</v>
      </c>
      <c r="FC14" s="2275">
        <v>2074</v>
      </c>
      <c r="FD14" s="2615">
        <v>1785</v>
      </c>
      <c r="FE14" s="2616">
        <v>2078</v>
      </c>
      <c r="FF14" s="2616">
        <v>880</v>
      </c>
      <c r="FG14" s="2616">
        <v>9</v>
      </c>
      <c r="FH14" s="2616">
        <v>12</v>
      </c>
      <c r="FI14" s="2616">
        <v>19</v>
      </c>
      <c r="FJ14" s="2616">
        <v>54</v>
      </c>
      <c r="FK14" s="2616">
        <v>137</v>
      </c>
      <c r="FL14" s="2616">
        <v>139</v>
      </c>
      <c r="FM14" s="2616">
        <v>179</v>
      </c>
      <c r="FN14" s="2616">
        <v>145</v>
      </c>
      <c r="FO14" s="2617">
        <v>331</v>
      </c>
      <c r="FP14" s="2615">
        <v>254</v>
      </c>
      <c r="FQ14" s="2616">
        <v>165</v>
      </c>
      <c r="FR14" s="2616">
        <v>258</v>
      </c>
      <c r="FS14" s="2616">
        <v>249</v>
      </c>
      <c r="FT14" s="2616">
        <v>270</v>
      </c>
      <c r="FU14" s="2616">
        <v>297</v>
      </c>
      <c r="FV14" s="2616">
        <v>583</v>
      </c>
      <c r="FW14" s="2616">
        <v>796</v>
      </c>
      <c r="FX14" s="2616">
        <v>587</v>
      </c>
      <c r="FY14" s="2616">
        <v>980</v>
      </c>
      <c r="FZ14" s="2616">
        <v>1220</v>
      </c>
      <c r="GA14" s="2617">
        <v>1176</v>
      </c>
      <c r="GB14" s="4656">
        <v>901</v>
      </c>
      <c r="GC14" s="4657">
        <v>1067</v>
      </c>
      <c r="GD14" s="4657">
        <v>1110</v>
      </c>
      <c r="GE14" s="4657">
        <v>1376</v>
      </c>
      <c r="GF14" s="4657">
        <v>1207</v>
      </c>
      <c r="GG14" s="4657"/>
      <c r="GH14" s="4657"/>
      <c r="GI14" s="4657"/>
      <c r="GJ14" s="4657"/>
      <c r="GK14" s="4657"/>
      <c r="GL14" s="4657"/>
      <c r="GM14" s="4658"/>
      <c r="GN14" s="2607"/>
      <c r="GO14" s="2754">
        <v>3198</v>
      </c>
      <c r="GP14" s="2755">
        <v>2336</v>
      </c>
      <c r="GQ14" s="2755">
        <v>4609</v>
      </c>
      <c r="GR14" s="2756">
        <v>3762</v>
      </c>
      <c r="GS14" s="2757">
        <v>4292</v>
      </c>
      <c r="GT14" s="2758">
        <v>2987</v>
      </c>
      <c r="GU14" s="2758">
        <v>4842</v>
      </c>
      <c r="GV14" s="2759">
        <v>4601</v>
      </c>
      <c r="GW14" s="2760">
        <v>3785</v>
      </c>
      <c r="GX14" s="2761">
        <v>3376.5</v>
      </c>
      <c r="GY14" s="2762">
        <v>4820</v>
      </c>
      <c r="GZ14" s="2762">
        <v>4585</v>
      </c>
      <c r="HA14" s="2763">
        <v>3619</v>
      </c>
      <c r="HB14" s="2764">
        <v>2813</v>
      </c>
      <c r="HC14" s="2764">
        <v>4940</v>
      </c>
      <c r="HD14" s="2765">
        <v>4348</v>
      </c>
      <c r="HE14" s="2766">
        <v>3776</v>
      </c>
      <c r="HF14" s="2767">
        <v>3193</v>
      </c>
      <c r="HG14" s="2767">
        <v>5354</v>
      </c>
      <c r="HH14" s="2768">
        <v>4487</v>
      </c>
      <c r="HI14" s="2764">
        <v>4240</v>
      </c>
      <c r="HJ14" s="2764">
        <v>3200</v>
      </c>
      <c r="HK14" s="2764">
        <v>5974</v>
      </c>
      <c r="HL14" s="2764">
        <v>5093</v>
      </c>
      <c r="HM14" s="2769">
        <v>4548</v>
      </c>
      <c r="HN14" s="2769">
        <v>3228</v>
      </c>
      <c r="HO14" s="2769">
        <v>5571</v>
      </c>
      <c r="HP14" s="2769">
        <v>4826</v>
      </c>
      <c r="HQ14" s="2770">
        <v>4142</v>
      </c>
      <c r="HR14" s="2770">
        <v>3489</v>
      </c>
      <c r="HS14" s="2770">
        <f t="shared" si="1"/>
        <v>6265</v>
      </c>
      <c r="HT14" s="2770">
        <v>5326</v>
      </c>
      <c r="HU14" s="2771">
        <v>4532</v>
      </c>
      <c r="HV14" s="2771">
        <f t="shared" si="2"/>
        <v>3319</v>
      </c>
      <c r="HW14" s="2771">
        <f t="shared" si="3"/>
        <v>5690</v>
      </c>
      <c r="HX14" s="2770">
        <f t="shared" si="4"/>
        <v>5023</v>
      </c>
      <c r="HY14" s="2689">
        <f t="shared" si="5"/>
        <v>4210</v>
      </c>
      <c r="HZ14" s="2689">
        <f t="shared" si="6"/>
        <v>3200</v>
      </c>
      <c r="IA14" s="2689">
        <f t="shared" si="7"/>
        <v>5607</v>
      </c>
      <c r="IB14" s="2689">
        <f t="shared" si="8"/>
        <v>4770</v>
      </c>
      <c r="IC14" s="2764">
        <f t="shared" si="9"/>
        <v>3931</v>
      </c>
      <c r="ID14" s="2764">
        <f t="shared" si="10"/>
        <v>3522</v>
      </c>
      <c r="IE14" s="2764">
        <f t="shared" si="11"/>
        <v>5393</v>
      </c>
      <c r="IF14" s="2764">
        <f t="shared" si="12"/>
        <v>5217</v>
      </c>
      <c r="IG14" s="2772">
        <f t="shared" si="13"/>
        <v>5123</v>
      </c>
      <c r="IH14" s="2769">
        <f t="shared" si="14"/>
        <v>3959</v>
      </c>
      <c r="II14" s="2769">
        <f t="shared" si="15"/>
        <v>5813</v>
      </c>
      <c r="IJ14" s="2769">
        <f t="shared" si="16"/>
        <v>5516</v>
      </c>
      <c r="IK14" s="2773">
        <f t="shared" si="17"/>
        <v>4925</v>
      </c>
      <c r="IL14" s="2774">
        <f t="shared" si="18"/>
        <v>4538</v>
      </c>
      <c r="IM14" s="2774">
        <f t="shared" si="19"/>
        <v>7133</v>
      </c>
      <c r="IN14" s="2774">
        <f t="shared" si="20"/>
        <v>6152</v>
      </c>
      <c r="IO14" s="2775">
        <f t="shared" si="21"/>
        <v>4743</v>
      </c>
      <c r="IP14" s="2776">
        <f t="shared" si="22"/>
        <v>40</v>
      </c>
      <c r="IQ14" s="2776">
        <f t="shared" si="23"/>
        <v>7133</v>
      </c>
      <c r="IR14" s="2777">
        <f t="shared" si="24"/>
        <v>655</v>
      </c>
      <c r="IS14" s="2772">
        <f t="shared" si="25"/>
        <v>677</v>
      </c>
      <c r="IT14" s="2769">
        <f t="shared" si="26"/>
        <v>816</v>
      </c>
      <c r="IU14" s="2769">
        <f t="shared" si="27"/>
        <v>1966</v>
      </c>
      <c r="IV14" s="2769">
        <f t="shared" si="28"/>
        <v>3376</v>
      </c>
      <c r="IW14" s="3976">
        <f t="shared" si="46"/>
        <v>3078</v>
      </c>
      <c r="IX14" s="2764">
        <f t="shared" si="47"/>
        <v>2583</v>
      </c>
      <c r="IY14" s="2764">
        <f t="shared" si="48"/>
        <v>0</v>
      </c>
      <c r="IZ14" s="3977">
        <f t="shared" si="49"/>
        <v>0</v>
      </c>
      <c r="JA14" s="3957"/>
      <c r="JB14" s="3358">
        <v>13905</v>
      </c>
      <c r="JC14" s="3359">
        <v>16722</v>
      </c>
      <c r="JD14" s="3359">
        <v>16566.5</v>
      </c>
      <c r="JE14" s="3359">
        <v>15720</v>
      </c>
      <c r="JF14" s="3359">
        <v>16810</v>
      </c>
      <c r="JG14" s="3359">
        <v>18507</v>
      </c>
      <c r="JH14" s="3360">
        <v>18173</v>
      </c>
      <c r="JI14" s="3361">
        <v>19222</v>
      </c>
      <c r="JJ14" s="3361">
        <f t="shared" si="29"/>
        <v>18564</v>
      </c>
      <c r="JK14" s="3361">
        <f t="shared" si="30"/>
        <v>17707</v>
      </c>
      <c r="JL14" s="3361">
        <f t="shared" si="31"/>
        <v>18063</v>
      </c>
      <c r="JM14" s="3361">
        <f t="shared" si="32"/>
        <v>20411</v>
      </c>
      <c r="JN14" s="3362">
        <f t="shared" si="0"/>
        <v>22748</v>
      </c>
      <c r="JO14" s="3380">
        <f t="shared" si="33"/>
        <v>5768</v>
      </c>
      <c r="JP14" s="3378">
        <f t="shared" si="50"/>
        <v>6835</v>
      </c>
      <c r="JQ14" s="3377">
        <f t="shared" si="51"/>
        <v>11300</v>
      </c>
      <c r="JS14" s="4673">
        <f t="shared" si="52"/>
        <v>419</v>
      </c>
      <c r="JT14" s="3579">
        <f t="shared" si="53"/>
        <v>5661</v>
      </c>
      <c r="JU14" s="2525"/>
      <c r="JV14" s="3365">
        <f t="shared" si="54"/>
        <v>7967.666666666667</v>
      </c>
      <c r="JW14" s="3366">
        <f t="shared" si="34"/>
        <v>2.8212661680682444E-2</v>
      </c>
      <c r="JX14" s="3366">
        <f t="shared" si="35"/>
        <v>2.7664485221256151E-2</v>
      </c>
      <c r="JY14" s="3366">
        <f t="shared" si="55"/>
        <v>2.971033478893741E-2</v>
      </c>
      <c r="JZ14" s="3366">
        <f t="shared" si="36"/>
        <v>3.3112081513828238E-2</v>
      </c>
      <c r="KA14" s="3366">
        <f t="shared" si="37"/>
        <v>3.0218729535036019E-2</v>
      </c>
      <c r="KB14" s="4688">
        <f t="shared" si="38"/>
        <v>2.432418966818033E-2</v>
      </c>
      <c r="KC14" s="4691">
        <f t="shared" si="56"/>
        <v>2.3620845709890027E-2</v>
      </c>
      <c r="KD14" s="3366"/>
      <c r="KE14" s="3368">
        <f t="shared" si="39"/>
        <v>2.0105043203253015E-2</v>
      </c>
      <c r="KF14" s="3369">
        <f t="shared" si="40"/>
        <v>-0.55002729617288826</v>
      </c>
      <c r="KG14" s="3369">
        <f t="shared" si="41"/>
        <v>0.1299894812600344</v>
      </c>
      <c r="KH14" s="3369">
        <f t="shared" si="42"/>
        <v>0.11449708490519828</v>
      </c>
      <c r="KI14" s="3369">
        <f t="shared" si="43"/>
        <v>-0.74643924740636547</v>
      </c>
      <c r="KJ14" s="3368">
        <f t="shared" si="44"/>
        <v>-0.69953402496922812</v>
      </c>
      <c r="KK14" s="3369">
        <f t="shared" si="57"/>
        <v>0.18498613037447997</v>
      </c>
      <c r="KL14" s="4678">
        <f t="shared" si="45"/>
        <v>-0.50325303323369086</v>
      </c>
      <c r="KM14" s="4678">
        <f t="shared" si="58"/>
        <v>0.65325530358449169</v>
      </c>
      <c r="KN14" s="3045"/>
      <c r="KO14" s="3045"/>
      <c r="KP14" s="3045"/>
      <c r="KQ14" s="3045"/>
      <c r="KR14" s="3045"/>
      <c r="KS14" s="3045"/>
      <c r="KT14" s="3045"/>
      <c r="KU14" s="3045"/>
      <c r="KV14" s="3045"/>
      <c r="KW14" s="3045"/>
      <c r="KX14" s="3045"/>
      <c r="KY14" s="3045"/>
      <c r="KZ14" s="3045"/>
      <c r="LA14" s="3045"/>
      <c r="LB14" s="3045"/>
      <c r="LC14" s="3045"/>
      <c r="LD14" s="3045"/>
      <c r="LE14" s="3045"/>
      <c r="LF14" s="3045"/>
      <c r="LG14" s="3045"/>
      <c r="LH14" s="3045"/>
      <c r="LI14" s="3045"/>
      <c r="LJ14" s="3045"/>
      <c r="LK14" s="2525"/>
      <c r="LL14" s="2525"/>
      <c r="LM14" s="2525"/>
      <c r="LN14" s="2525"/>
      <c r="LO14" s="2525"/>
      <c r="LP14" s="2525"/>
      <c r="LQ14" s="2525"/>
      <c r="LR14" s="2525"/>
    </row>
    <row r="15" spans="1:330" ht="21.9" customHeight="1">
      <c r="A15" s="3382"/>
      <c r="B15" s="3045"/>
      <c r="C15" s="3381" t="s">
        <v>13</v>
      </c>
      <c r="D15" s="3330">
        <v>89</v>
      </c>
      <c r="E15" s="3331">
        <v>97</v>
      </c>
      <c r="F15" s="3331">
        <v>98</v>
      </c>
      <c r="G15" s="3331">
        <v>73</v>
      </c>
      <c r="H15" s="3331">
        <v>107</v>
      </c>
      <c r="I15" s="3331">
        <v>108</v>
      </c>
      <c r="J15" s="3331">
        <v>114</v>
      </c>
      <c r="K15" s="3331">
        <v>116</v>
      </c>
      <c r="L15" s="3331">
        <v>115</v>
      </c>
      <c r="M15" s="3331">
        <v>116</v>
      </c>
      <c r="N15" s="3331">
        <v>219</v>
      </c>
      <c r="O15" s="3332">
        <v>117</v>
      </c>
      <c r="P15" s="3333">
        <v>110</v>
      </c>
      <c r="Q15" s="3334">
        <v>177</v>
      </c>
      <c r="R15" s="3334">
        <v>117</v>
      </c>
      <c r="S15" s="3334">
        <v>96</v>
      </c>
      <c r="T15" s="3334">
        <v>143</v>
      </c>
      <c r="U15" s="3334">
        <v>107</v>
      </c>
      <c r="V15" s="3334">
        <v>186</v>
      </c>
      <c r="W15" s="3334">
        <v>197</v>
      </c>
      <c r="X15" s="3334">
        <v>181</v>
      </c>
      <c r="Y15" s="3334">
        <v>189</v>
      </c>
      <c r="Z15" s="3334">
        <v>292</v>
      </c>
      <c r="AA15" s="3335">
        <v>152</v>
      </c>
      <c r="AB15" s="3336">
        <v>164</v>
      </c>
      <c r="AC15" s="3337">
        <v>132</v>
      </c>
      <c r="AD15" s="3337">
        <v>166</v>
      </c>
      <c r="AE15" s="3337">
        <v>106</v>
      </c>
      <c r="AF15" s="3337">
        <v>116.5</v>
      </c>
      <c r="AG15" s="3337">
        <v>127</v>
      </c>
      <c r="AH15" s="3337">
        <v>145</v>
      </c>
      <c r="AI15" s="3337">
        <v>105</v>
      </c>
      <c r="AJ15" s="3337">
        <v>149</v>
      </c>
      <c r="AK15" s="3337">
        <v>163</v>
      </c>
      <c r="AL15" s="3337">
        <v>184</v>
      </c>
      <c r="AM15" s="3338">
        <v>125</v>
      </c>
      <c r="AN15" s="3339">
        <v>154</v>
      </c>
      <c r="AO15" s="3340">
        <v>218</v>
      </c>
      <c r="AP15" s="3340">
        <v>150</v>
      </c>
      <c r="AQ15" s="3340">
        <v>189</v>
      </c>
      <c r="AR15" s="3340">
        <v>141</v>
      </c>
      <c r="AS15" s="3340">
        <v>141</v>
      </c>
      <c r="AT15" s="3340">
        <v>147</v>
      </c>
      <c r="AU15" s="3340">
        <v>136</v>
      </c>
      <c r="AV15" s="3340">
        <v>118</v>
      </c>
      <c r="AW15" s="3340">
        <v>121</v>
      </c>
      <c r="AX15" s="3340">
        <v>165</v>
      </c>
      <c r="AY15" s="3341">
        <v>149</v>
      </c>
      <c r="AZ15" s="3277">
        <v>161</v>
      </c>
      <c r="BA15" s="3277">
        <v>180</v>
      </c>
      <c r="BB15" s="3277">
        <v>463</v>
      </c>
      <c r="BC15" s="3277">
        <v>340</v>
      </c>
      <c r="BD15" s="3277">
        <v>336</v>
      </c>
      <c r="BE15" s="3277">
        <v>396</v>
      </c>
      <c r="BF15" s="3277">
        <v>334</v>
      </c>
      <c r="BG15" s="3277">
        <v>362</v>
      </c>
      <c r="BH15" s="3277">
        <v>336</v>
      </c>
      <c r="BI15" s="3277">
        <v>395</v>
      </c>
      <c r="BJ15" s="3277">
        <v>356</v>
      </c>
      <c r="BK15" s="3374">
        <v>381</v>
      </c>
      <c r="BL15" s="3344">
        <v>131</v>
      </c>
      <c r="BM15" s="3345">
        <v>193</v>
      </c>
      <c r="BN15" s="3345">
        <v>397</v>
      </c>
      <c r="BO15" s="3345">
        <v>386</v>
      </c>
      <c r="BP15" s="3345">
        <v>468</v>
      </c>
      <c r="BQ15" s="3345">
        <v>379</v>
      </c>
      <c r="BR15" s="3345">
        <v>392</v>
      </c>
      <c r="BS15" s="3345">
        <v>350</v>
      </c>
      <c r="BT15" s="3346">
        <v>379</v>
      </c>
      <c r="BU15" s="3346">
        <v>342</v>
      </c>
      <c r="BV15" s="3346">
        <v>432</v>
      </c>
      <c r="BW15" s="3347">
        <v>353</v>
      </c>
      <c r="BX15" s="3348">
        <v>362</v>
      </c>
      <c r="BY15" s="3273">
        <v>407</v>
      </c>
      <c r="BZ15" s="3273">
        <v>490</v>
      </c>
      <c r="CA15" s="3273">
        <v>520</v>
      </c>
      <c r="CB15" s="3273">
        <v>497</v>
      </c>
      <c r="CC15" s="3273">
        <v>497</v>
      </c>
      <c r="CD15" s="3273">
        <v>513</v>
      </c>
      <c r="CE15" s="3273">
        <v>460</v>
      </c>
      <c r="CF15" s="3273">
        <v>520</v>
      </c>
      <c r="CG15" s="3273">
        <v>501</v>
      </c>
      <c r="CH15" s="3273">
        <v>503</v>
      </c>
      <c r="CI15" s="3275">
        <v>525</v>
      </c>
      <c r="CJ15" s="3349">
        <v>471</v>
      </c>
      <c r="CK15" s="3350">
        <v>474</v>
      </c>
      <c r="CL15" s="3350">
        <v>491</v>
      </c>
      <c r="CM15" s="3350">
        <v>485</v>
      </c>
      <c r="CN15" s="3350">
        <v>565</v>
      </c>
      <c r="CO15" s="3350">
        <v>493</v>
      </c>
      <c r="CP15" s="3350">
        <v>498</v>
      </c>
      <c r="CQ15" s="3350">
        <v>493</v>
      </c>
      <c r="CR15" s="3350">
        <v>543</v>
      </c>
      <c r="CS15" s="3350">
        <v>389</v>
      </c>
      <c r="CT15" s="3350">
        <v>471</v>
      </c>
      <c r="CU15" s="3351">
        <v>478</v>
      </c>
      <c r="CV15" s="3349">
        <v>398</v>
      </c>
      <c r="CW15" s="3350">
        <v>376</v>
      </c>
      <c r="CX15" s="3272">
        <v>343</v>
      </c>
      <c r="CY15" s="3272">
        <v>380</v>
      </c>
      <c r="CZ15" s="3272">
        <v>488</v>
      </c>
      <c r="DA15" s="3272">
        <v>366</v>
      </c>
      <c r="DB15" s="3272">
        <v>598</v>
      </c>
      <c r="DC15" s="3272">
        <v>512</v>
      </c>
      <c r="DD15" s="3272">
        <v>557</v>
      </c>
      <c r="DE15" s="3272">
        <v>698</v>
      </c>
      <c r="DF15" s="3272">
        <v>731</v>
      </c>
      <c r="DG15" s="3351">
        <v>700</v>
      </c>
      <c r="DH15" s="3352">
        <v>891</v>
      </c>
      <c r="DI15" s="3353">
        <v>862</v>
      </c>
      <c r="DJ15" s="3353">
        <v>915</v>
      </c>
      <c r="DK15" s="3354">
        <v>629</v>
      </c>
      <c r="DL15" s="3354">
        <v>786</v>
      </c>
      <c r="DM15" s="3354">
        <v>756</v>
      </c>
      <c r="DN15" s="3354">
        <v>817</v>
      </c>
      <c r="DO15" s="3354">
        <v>802</v>
      </c>
      <c r="DP15" s="2556">
        <v>586</v>
      </c>
      <c r="DQ15" s="3354">
        <v>872</v>
      </c>
      <c r="DR15" s="3354">
        <v>883</v>
      </c>
      <c r="DS15" s="3355">
        <v>763</v>
      </c>
      <c r="DT15" s="3356">
        <v>841</v>
      </c>
      <c r="DU15" s="3243">
        <v>806</v>
      </c>
      <c r="DV15" s="3243">
        <v>689</v>
      </c>
      <c r="DW15" s="3164">
        <v>656</v>
      </c>
      <c r="DX15" s="3164">
        <v>636</v>
      </c>
      <c r="DY15" s="3164">
        <v>814</v>
      </c>
      <c r="DZ15" s="3164">
        <v>711</v>
      </c>
      <c r="EA15" s="3164">
        <v>815</v>
      </c>
      <c r="EB15" s="3164">
        <v>811</v>
      </c>
      <c r="EC15" s="3164">
        <v>824</v>
      </c>
      <c r="ED15" s="3164">
        <v>864</v>
      </c>
      <c r="EE15" s="3163">
        <v>729</v>
      </c>
      <c r="EF15" s="2532">
        <v>769</v>
      </c>
      <c r="EG15" s="2531">
        <v>683</v>
      </c>
      <c r="EH15" s="2531">
        <v>727</v>
      </c>
      <c r="EI15" s="2531">
        <v>707</v>
      </c>
      <c r="EJ15" s="2531">
        <v>717</v>
      </c>
      <c r="EK15" s="2531">
        <v>800</v>
      </c>
      <c r="EL15" s="2531">
        <v>836</v>
      </c>
      <c r="EM15" s="2557">
        <v>819</v>
      </c>
      <c r="EN15" s="2557">
        <v>868</v>
      </c>
      <c r="EO15" s="2558">
        <v>902</v>
      </c>
      <c r="EP15" s="2558">
        <v>926</v>
      </c>
      <c r="EQ15" s="2559">
        <v>860</v>
      </c>
      <c r="ER15" s="1323">
        <v>840</v>
      </c>
      <c r="ES15" s="3357">
        <v>828</v>
      </c>
      <c r="ET15" s="3357">
        <v>1084</v>
      </c>
      <c r="EU15" s="2560">
        <v>812</v>
      </c>
      <c r="EV15" s="2107">
        <v>848</v>
      </c>
      <c r="EW15" s="2107">
        <v>1008</v>
      </c>
      <c r="EX15" s="2107">
        <v>995</v>
      </c>
      <c r="EY15" s="2107">
        <v>1071</v>
      </c>
      <c r="EZ15" s="2107">
        <v>633</v>
      </c>
      <c r="FA15" s="2275">
        <v>594</v>
      </c>
      <c r="FB15" s="2275">
        <v>724</v>
      </c>
      <c r="FC15" s="2275">
        <v>705</v>
      </c>
      <c r="FD15" s="2615">
        <v>773</v>
      </c>
      <c r="FE15" s="2616">
        <v>747</v>
      </c>
      <c r="FF15" s="2616">
        <v>271</v>
      </c>
      <c r="FG15" s="2616"/>
      <c r="FH15" s="2616"/>
      <c r="FI15" s="2616"/>
      <c r="FJ15" s="2616">
        <v>1</v>
      </c>
      <c r="FK15" s="2616">
        <v>15</v>
      </c>
      <c r="FL15" s="2616">
        <v>5</v>
      </c>
      <c r="FM15" s="2616">
        <v>40</v>
      </c>
      <c r="FN15" s="2616">
        <v>320</v>
      </c>
      <c r="FO15" s="2617">
        <v>353</v>
      </c>
      <c r="FP15" s="2615">
        <v>354</v>
      </c>
      <c r="FQ15" s="2616">
        <v>219</v>
      </c>
      <c r="FR15" s="2616">
        <v>215</v>
      </c>
      <c r="FS15" s="2616">
        <v>218</v>
      </c>
      <c r="FT15" s="2616">
        <v>265</v>
      </c>
      <c r="FU15" s="2616">
        <v>367</v>
      </c>
      <c r="FV15" s="2616">
        <v>452</v>
      </c>
      <c r="FW15" s="2616">
        <v>462</v>
      </c>
      <c r="FX15" s="2616">
        <v>623</v>
      </c>
      <c r="FY15" s="2616">
        <v>593</v>
      </c>
      <c r="FZ15" s="2616">
        <v>524</v>
      </c>
      <c r="GA15" s="2617">
        <v>491</v>
      </c>
      <c r="GB15" s="4659">
        <v>270</v>
      </c>
      <c r="GC15" s="4660">
        <v>267</v>
      </c>
      <c r="GD15" s="4660">
        <v>504</v>
      </c>
      <c r="GE15" s="4660">
        <v>509</v>
      </c>
      <c r="GF15" s="4660">
        <v>553</v>
      </c>
      <c r="GG15" s="4660"/>
      <c r="GH15" s="4660"/>
      <c r="GI15" s="4660"/>
      <c r="GJ15" s="4660"/>
      <c r="GK15" s="4660"/>
      <c r="GL15" s="4660"/>
      <c r="GM15" s="4661"/>
      <c r="GN15" s="2607"/>
      <c r="GO15" s="2754">
        <v>284</v>
      </c>
      <c r="GP15" s="2755">
        <v>288</v>
      </c>
      <c r="GQ15" s="2755">
        <v>345</v>
      </c>
      <c r="GR15" s="2756">
        <v>452</v>
      </c>
      <c r="GS15" s="2757">
        <v>404</v>
      </c>
      <c r="GT15" s="2758">
        <v>346</v>
      </c>
      <c r="GU15" s="2758">
        <v>564</v>
      </c>
      <c r="GV15" s="2759">
        <v>633</v>
      </c>
      <c r="GW15" s="2760">
        <v>462</v>
      </c>
      <c r="GX15" s="2761">
        <v>349.5</v>
      </c>
      <c r="GY15" s="2762">
        <v>399</v>
      </c>
      <c r="GZ15" s="2762">
        <v>472</v>
      </c>
      <c r="HA15" s="2763">
        <v>522</v>
      </c>
      <c r="HB15" s="2764">
        <v>471</v>
      </c>
      <c r="HC15" s="2764">
        <v>401</v>
      </c>
      <c r="HD15" s="2765">
        <v>435</v>
      </c>
      <c r="HE15" s="2766">
        <v>804</v>
      </c>
      <c r="HF15" s="2767">
        <v>1072</v>
      </c>
      <c r="HG15" s="2767">
        <v>1032</v>
      </c>
      <c r="HH15" s="2768">
        <v>1132</v>
      </c>
      <c r="HI15" s="2764">
        <v>721</v>
      </c>
      <c r="HJ15" s="2764">
        <v>1233</v>
      </c>
      <c r="HK15" s="2764">
        <v>1121</v>
      </c>
      <c r="HL15" s="2764">
        <v>1127</v>
      </c>
      <c r="HM15" s="2769">
        <v>1259</v>
      </c>
      <c r="HN15" s="2769">
        <v>1514</v>
      </c>
      <c r="HO15" s="2769">
        <v>1493</v>
      </c>
      <c r="HP15" s="2769">
        <v>1529</v>
      </c>
      <c r="HQ15" s="2770">
        <v>1436</v>
      </c>
      <c r="HR15" s="2770">
        <v>1543</v>
      </c>
      <c r="HS15" s="2770">
        <f t="shared" si="1"/>
        <v>1534</v>
      </c>
      <c r="HT15" s="2770">
        <v>1338</v>
      </c>
      <c r="HU15" s="2771">
        <v>1117</v>
      </c>
      <c r="HV15" s="2771">
        <f t="shared" si="2"/>
        <v>1234</v>
      </c>
      <c r="HW15" s="2771">
        <f t="shared" si="3"/>
        <v>1667</v>
      </c>
      <c r="HX15" s="2770">
        <f t="shared" si="4"/>
        <v>2129</v>
      </c>
      <c r="HY15" s="2689">
        <f t="shared" si="5"/>
        <v>2668</v>
      </c>
      <c r="HZ15" s="2689">
        <f t="shared" si="6"/>
        <v>2171</v>
      </c>
      <c r="IA15" s="2689">
        <f t="shared" si="7"/>
        <v>2382</v>
      </c>
      <c r="IB15" s="2689">
        <f t="shared" si="8"/>
        <v>2518</v>
      </c>
      <c r="IC15" s="2764">
        <f t="shared" si="9"/>
        <v>2336</v>
      </c>
      <c r="ID15" s="2764">
        <f t="shared" si="10"/>
        <v>2106</v>
      </c>
      <c r="IE15" s="2764">
        <f t="shared" si="11"/>
        <v>2337</v>
      </c>
      <c r="IF15" s="2764">
        <f t="shared" si="12"/>
        <v>2417</v>
      </c>
      <c r="IG15" s="2772">
        <f t="shared" si="13"/>
        <v>2179</v>
      </c>
      <c r="IH15" s="2769">
        <f t="shared" si="14"/>
        <v>2224</v>
      </c>
      <c r="II15" s="2769">
        <f t="shared" si="15"/>
        <v>2523</v>
      </c>
      <c r="IJ15" s="2769">
        <f t="shared" si="16"/>
        <v>2688</v>
      </c>
      <c r="IK15" s="2773">
        <f t="shared" si="17"/>
        <v>2752</v>
      </c>
      <c r="IL15" s="2774">
        <f t="shared" si="18"/>
        <v>2668</v>
      </c>
      <c r="IM15" s="2774">
        <f t="shared" si="19"/>
        <v>2699</v>
      </c>
      <c r="IN15" s="2774">
        <f t="shared" si="20"/>
        <v>2023</v>
      </c>
      <c r="IO15" s="2775">
        <f t="shared" si="21"/>
        <v>1791</v>
      </c>
      <c r="IP15" s="2776">
        <f t="shared" si="22"/>
        <v>0</v>
      </c>
      <c r="IQ15" s="2776">
        <f>FJ15+FK15+FL15</f>
        <v>21</v>
      </c>
      <c r="IR15" s="2777">
        <f t="shared" si="24"/>
        <v>713</v>
      </c>
      <c r="IS15" s="2772">
        <f t="shared" si="25"/>
        <v>788</v>
      </c>
      <c r="IT15" s="2769">
        <f t="shared" si="26"/>
        <v>850</v>
      </c>
      <c r="IU15" s="2769">
        <f t="shared" si="27"/>
        <v>1537</v>
      </c>
      <c r="IV15" s="2769">
        <f t="shared" si="28"/>
        <v>1608</v>
      </c>
      <c r="IW15" s="3961">
        <f t="shared" si="46"/>
        <v>1041</v>
      </c>
      <c r="IX15" s="3953">
        <f t="shared" si="47"/>
        <v>1062</v>
      </c>
      <c r="IY15" s="3953">
        <f t="shared" si="48"/>
        <v>0</v>
      </c>
      <c r="IZ15" s="3962">
        <f t="shared" si="49"/>
        <v>0</v>
      </c>
      <c r="JA15" s="3957"/>
      <c r="JB15" s="3358">
        <v>1369</v>
      </c>
      <c r="JC15" s="3359">
        <v>1947</v>
      </c>
      <c r="JD15" s="3359">
        <v>1682.5</v>
      </c>
      <c r="JE15" s="3359">
        <v>1829</v>
      </c>
      <c r="JF15" s="3359">
        <v>4040</v>
      </c>
      <c r="JG15" s="3359">
        <v>4202</v>
      </c>
      <c r="JH15" s="3360">
        <v>5795</v>
      </c>
      <c r="JI15" s="3361">
        <v>5851</v>
      </c>
      <c r="JJ15" s="3361">
        <f t="shared" si="29"/>
        <v>6147</v>
      </c>
      <c r="JK15" s="3361">
        <f t="shared" si="30"/>
        <v>9562</v>
      </c>
      <c r="JL15" s="3361">
        <f t="shared" si="31"/>
        <v>9196</v>
      </c>
      <c r="JM15" s="3361">
        <f t="shared" si="32"/>
        <v>9614</v>
      </c>
      <c r="JN15" s="3362">
        <f t="shared" si="0"/>
        <v>10142</v>
      </c>
      <c r="JO15" s="3380">
        <f t="shared" si="33"/>
        <v>2525</v>
      </c>
      <c r="JP15" s="3378">
        <f t="shared" si="50"/>
        <v>4783</v>
      </c>
      <c r="JQ15" s="3377">
        <f t="shared" si="51"/>
        <v>5615</v>
      </c>
      <c r="JS15" s="4673">
        <f t="shared" si="52"/>
        <v>573</v>
      </c>
      <c r="JT15" s="3579">
        <f t="shared" si="53"/>
        <v>2103</v>
      </c>
      <c r="JU15" s="2525"/>
      <c r="JV15" s="3365">
        <f t="shared" si="54"/>
        <v>4307.666666666667</v>
      </c>
      <c r="JW15" s="3366">
        <f t="shared" si="34"/>
        <v>1.5235187834793332E-2</v>
      </c>
      <c r="JX15" s="3366">
        <f t="shared" si="35"/>
        <v>1.4084183474210905E-2</v>
      </c>
      <c r="JY15" s="3366">
        <f t="shared" si="55"/>
        <v>1.3994177583697235E-2</v>
      </c>
      <c r="JZ15" s="3366">
        <f t="shared" si="36"/>
        <v>1.47627365356623E-2</v>
      </c>
      <c r="KA15" s="3366">
        <f t="shared" si="37"/>
        <v>1.3228552717747217E-2</v>
      </c>
      <c r="KB15" s="4688">
        <f t="shared" si="38"/>
        <v>1.7021594613446454E-2</v>
      </c>
      <c r="KC15" s="4691">
        <f t="shared" si="56"/>
        <v>1.1737260943454203E-2</v>
      </c>
      <c r="KD15" s="3366"/>
      <c r="KE15" s="3368">
        <f t="shared" si="39"/>
        <v>-3.8276511190127538E-2</v>
      </c>
      <c r="KF15" s="3369">
        <f t="shared" si="40"/>
        <v>-0.54950149898905387</v>
      </c>
      <c r="KG15" s="3369">
        <f t="shared" si="41"/>
        <v>4.5454545454545414E-2</v>
      </c>
      <c r="KH15" s="3369">
        <f t="shared" si="42"/>
        <v>5.4919908466819267E-2</v>
      </c>
      <c r="KI15" s="3369">
        <f t="shared" si="43"/>
        <v>-0.75103529875764152</v>
      </c>
      <c r="KJ15" s="3368">
        <f t="shared" si="44"/>
        <v>-0.52839676592388085</v>
      </c>
      <c r="KK15" s="3369">
        <f t="shared" si="57"/>
        <v>0.89425742574257416</v>
      </c>
      <c r="KL15" s="4678">
        <f t="shared" si="45"/>
        <v>-0.44636166436600277</v>
      </c>
      <c r="KM15" s="4678">
        <f t="shared" si="58"/>
        <v>0.1739494041396612</v>
      </c>
      <c r="KN15" s="3045"/>
      <c r="KO15" s="3045"/>
      <c r="KP15" s="3045"/>
      <c r="KQ15" s="3045"/>
      <c r="KR15" s="3045"/>
      <c r="KS15" s="3045"/>
      <c r="KT15" s="3045"/>
      <c r="KU15" s="3045"/>
      <c r="KV15" s="3045"/>
      <c r="KW15" s="3045"/>
      <c r="KX15" s="3045"/>
      <c r="KY15" s="3045"/>
      <c r="KZ15" s="3045"/>
      <c r="LA15" s="3045"/>
      <c r="LB15" s="3045"/>
      <c r="LC15" s="3045"/>
      <c r="LD15" s="3045"/>
      <c r="LE15" s="3045"/>
      <c r="LF15" s="3045"/>
      <c r="LG15" s="3045"/>
      <c r="LH15" s="3045"/>
      <c r="LI15" s="3045"/>
      <c r="LJ15" s="3045"/>
      <c r="LK15" s="2525"/>
      <c r="LL15" s="2525"/>
      <c r="LM15" s="2525"/>
      <c r="LN15" s="2525"/>
      <c r="LO15" s="2525"/>
      <c r="LP15" s="2525"/>
      <c r="LQ15" s="2525"/>
      <c r="LR15" s="2525"/>
    </row>
    <row r="16" spans="1:330" ht="21.9" customHeight="1">
      <c r="A16" s="3372"/>
      <c r="B16" s="3045"/>
      <c r="C16" s="3373" t="s">
        <v>16</v>
      </c>
      <c r="D16" s="3330">
        <v>601</v>
      </c>
      <c r="E16" s="3331">
        <v>485</v>
      </c>
      <c r="F16" s="3331">
        <v>562</v>
      </c>
      <c r="G16" s="3331">
        <v>458</v>
      </c>
      <c r="H16" s="3331">
        <v>506</v>
      </c>
      <c r="I16" s="3331">
        <v>493</v>
      </c>
      <c r="J16" s="3331">
        <v>640</v>
      </c>
      <c r="K16" s="3331">
        <v>660</v>
      </c>
      <c r="L16" s="3331">
        <v>623</v>
      </c>
      <c r="M16" s="3331">
        <v>809</v>
      </c>
      <c r="N16" s="3331">
        <v>721</v>
      </c>
      <c r="O16" s="3332">
        <v>581</v>
      </c>
      <c r="P16" s="3333">
        <v>742</v>
      </c>
      <c r="Q16" s="3334">
        <v>1092</v>
      </c>
      <c r="R16" s="3334">
        <v>815</v>
      </c>
      <c r="S16" s="3334">
        <v>665</v>
      </c>
      <c r="T16" s="3334">
        <v>807</v>
      </c>
      <c r="U16" s="3334">
        <v>1147</v>
      </c>
      <c r="V16" s="3334">
        <v>1017</v>
      </c>
      <c r="W16" s="3334">
        <v>826</v>
      </c>
      <c r="X16" s="3334">
        <v>918</v>
      </c>
      <c r="Y16" s="3334">
        <v>792</v>
      </c>
      <c r="Z16" s="3334">
        <v>734</v>
      </c>
      <c r="AA16" s="3335">
        <v>659</v>
      </c>
      <c r="AB16" s="3336">
        <v>705</v>
      </c>
      <c r="AC16" s="3337">
        <v>675</v>
      </c>
      <c r="AD16" s="3337">
        <v>680</v>
      </c>
      <c r="AE16" s="3337">
        <v>672</v>
      </c>
      <c r="AF16" s="3337">
        <v>653</v>
      </c>
      <c r="AG16" s="3337">
        <v>634</v>
      </c>
      <c r="AH16" s="3337">
        <v>832</v>
      </c>
      <c r="AI16" s="3337">
        <v>848</v>
      </c>
      <c r="AJ16" s="3337">
        <v>720</v>
      </c>
      <c r="AK16" s="3337">
        <v>789</v>
      </c>
      <c r="AL16" s="3337">
        <v>930</v>
      </c>
      <c r="AM16" s="3338">
        <v>731</v>
      </c>
      <c r="AN16" s="3339">
        <v>924</v>
      </c>
      <c r="AO16" s="3340">
        <v>696</v>
      </c>
      <c r="AP16" s="3340">
        <v>663</v>
      </c>
      <c r="AQ16" s="3340">
        <v>716</v>
      </c>
      <c r="AR16" s="3340">
        <v>756</v>
      </c>
      <c r="AS16" s="3340">
        <v>723</v>
      </c>
      <c r="AT16" s="3340">
        <v>894</v>
      </c>
      <c r="AU16" s="3340">
        <v>783</v>
      </c>
      <c r="AV16" s="3340">
        <v>912</v>
      </c>
      <c r="AW16" s="3340">
        <v>829</v>
      </c>
      <c r="AX16" s="3340">
        <v>856</v>
      </c>
      <c r="AY16" s="3341">
        <v>807</v>
      </c>
      <c r="AZ16" s="3277">
        <v>932</v>
      </c>
      <c r="BA16" s="3277">
        <v>719</v>
      </c>
      <c r="BB16" s="3277">
        <v>938</v>
      </c>
      <c r="BC16" s="3277">
        <v>769</v>
      </c>
      <c r="BD16" s="3277">
        <v>816</v>
      </c>
      <c r="BE16" s="3277">
        <v>810</v>
      </c>
      <c r="BF16" s="3277">
        <v>970</v>
      </c>
      <c r="BG16" s="3277">
        <v>834</v>
      </c>
      <c r="BH16" s="3277">
        <v>856</v>
      </c>
      <c r="BI16" s="3277">
        <v>924</v>
      </c>
      <c r="BJ16" s="3277">
        <v>793</v>
      </c>
      <c r="BK16" s="3374">
        <v>822</v>
      </c>
      <c r="BL16" s="3344">
        <v>834</v>
      </c>
      <c r="BM16" s="3345">
        <v>769</v>
      </c>
      <c r="BN16" s="3345">
        <v>821</v>
      </c>
      <c r="BO16" s="3345">
        <v>842</v>
      </c>
      <c r="BP16" s="3345">
        <v>921</v>
      </c>
      <c r="BQ16" s="3345">
        <v>1131</v>
      </c>
      <c r="BR16" s="3345">
        <v>1140</v>
      </c>
      <c r="BS16" s="3345">
        <v>979</v>
      </c>
      <c r="BT16" s="3346">
        <v>975</v>
      </c>
      <c r="BU16" s="3346">
        <v>994</v>
      </c>
      <c r="BV16" s="3346">
        <v>1053</v>
      </c>
      <c r="BW16" s="3347">
        <v>931</v>
      </c>
      <c r="BX16" s="3348">
        <v>941</v>
      </c>
      <c r="BY16" s="3273">
        <v>723</v>
      </c>
      <c r="BZ16" s="3273">
        <v>783</v>
      </c>
      <c r="CA16" s="3273">
        <v>862</v>
      </c>
      <c r="CB16" s="3273">
        <v>903</v>
      </c>
      <c r="CC16" s="3273">
        <v>861</v>
      </c>
      <c r="CD16" s="3273">
        <v>932</v>
      </c>
      <c r="CE16" s="3273">
        <v>714</v>
      </c>
      <c r="CF16" s="3273">
        <v>996</v>
      </c>
      <c r="CG16" s="3273">
        <v>940</v>
      </c>
      <c r="CH16" s="3273">
        <v>1183</v>
      </c>
      <c r="CI16" s="3275">
        <v>1214</v>
      </c>
      <c r="CJ16" s="3349">
        <v>1206</v>
      </c>
      <c r="CK16" s="3350">
        <v>1082</v>
      </c>
      <c r="CL16" s="3350">
        <v>958</v>
      </c>
      <c r="CM16" s="3350">
        <v>984</v>
      </c>
      <c r="CN16" s="3350">
        <v>1190</v>
      </c>
      <c r="CO16" s="3350">
        <v>753</v>
      </c>
      <c r="CP16" s="3350">
        <v>1072</v>
      </c>
      <c r="CQ16" s="3350">
        <v>1031</v>
      </c>
      <c r="CR16" s="3350">
        <v>1195</v>
      </c>
      <c r="CS16" s="3350">
        <v>1257</v>
      </c>
      <c r="CT16" s="3350">
        <v>1415</v>
      </c>
      <c r="CU16" s="3351">
        <v>1565</v>
      </c>
      <c r="CV16" s="3349">
        <v>1621</v>
      </c>
      <c r="CW16" s="3350">
        <v>1093</v>
      </c>
      <c r="CX16" s="3272">
        <v>918</v>
      </c>
      <c r="CY16" s="3272">
        <v>1026</v>
      </c>
      <c r="CZ16" s="3272">
        <v>1047</v>
      </c>
      <c r="DA16" s="3272">
        <v>937</v>
      </c>
      <c r="DB16" s="3272">
        <v>1223</v>
      </c>
      <c r="DC16" s="3272">
        <v>939</v>
      </c>
      <c r="DD16" s="3272">
        <v>863</v>
      </c>
      <c r="DE16" s="3272">
        <v>940</v>
      </c>
      <c r="DF16" s="3272">
        <v>1003</v>
      </c>
      <c r="DG16" s="3351">
        <v>1325</v>
      </c>
      <c r="DH16" s="3352">
        <v>965</v>
      </c>
      <c r="DI16" s="3353">
        <v>748</v>
      </c>
      <c r="DJ16" s="3353">
        <v>734</v>
      </c>
      <c r="DK16" s="3354">
        <v>736</v>
      </c>
      <c r="DL16" s="3354">
        <v>751</v>
      </c>
      <c r="DM16" s="3354">
        <v>821</v>
      </c>
      <c r="DN16" s="3354">
        <v>874</v>
      </c>
      <c r="DO16" s="3354">
        <v>960</v>
      </c>
      <c r="DP16" s="2556">
        <v>826</v>
      </c>
      <c r="DQ16" s="3354">
        <v>1331</v>
      </c>
      <c r="DR16" s="3354">
        <v>981</v>
      </c>
      <c r="DS16" s="3355">
        <v>896</v>
      </c>
      <c r="DT16" s="3356">
        <v>1060</v>
      </c>
      <c r="DU16" s="3243">
        <v>849</v>
      </c>
      <c r="DV16" s="3243">
        <v>907</v>
      </c>
      <c r="DW16" s="3164">
        <v>1130</v>
      </c>
      <c r="DX16" s="3164">
        <v>878</v>
      </c>
      <c r="DY16" s="3164">
        <v>938</v>
      </c>
      <c r="DZ16" s="3164">
        <v>1156</v>
      </c>
      <c r="EA16" s="3164">
        <v>925</v>
      </c>
      <c r="EB16" s="3164">
        <v>972</v>
      </c>
      <c r="EC16" s="3164">
        <v>1125</v>
      </c>
      <c r="ED16" s="3164">
        <v>1076</v>
      </c>
      <c r="EE16" s="3163">
        <v>960</v>
      </c>
      <c r="EF16" s="2532">
        <v>1141</v>
      </c>
      <c r="EG16" s="2531">
        <v>1020</v>
      </c>
      <c r="EH16" s="2531">
        <v>899</v>
      </c>
      <c r="EI16" s="2531">
        <v>1032</v>
      </c>
      <c r="EJ16" s="2531">
        <v>1005</v>
      </c>
      <c r="EK16" s="2531">
        <v>1056</v>
      </c>
      <c r="EL16" s="2531">
        <v>1355</v>
      </c>
      <c r="EM16" s="2557">
        <v>837</v>
      </c>
      <c r="EN16" s="2557">
        <v>1152</v>
      </c>
      <c r="EO16" s="2558">
        <v>1381</v>
      </c>
      <c r="EP16" s="2558">
        <v>1016</v>
      </c>
      <c r="EQ16" s="2559">
        <v>1162</v>
      </c>
      <c r="ER16" s="1320">
        <v>2040</v>
      </c>
      <c r="ES16" s="3357">
        <v>1025</v>
      </c>
      <c r="ET16" s="3357">
        <v>1254</v>
      </c>
      <c r="EU16" s="2560">
        <v>1827</v>
      </c>
      <c r="EV16" s="2104">
        <v>1348</v>
      </c>
      <c r="EW16" s="2104">
        <v>1543</v>
      </c>
      <c r="EX16" s="2104">
        <v>1780</v>
      </c>
      <c r="EY16" s="2104">
        <v>1558</v>
      </c>
      <c r="EZ16" s="2104">
        <v>1957</v>
      </c>
      <c r="FA16" s="2275">
        <v>972</v>
      </c>
      <c r="FB16" s="2275">
        <v>1447</v>
      </c>
      <c r="FC16" s="2275">
        <v>1594</v>
      </c>
      <c r="FD16" s="2615">
        <v>1536</v>
      </c>
      <c r="FE16" s="2616">
        <v>1652</v>
      </c>
      <c r="FF16" s="2616">
        <v>512</v>
      </c>
      <c r="FG16" s="2616">
        <v>12</v>
      </c>
      <c r="FH16" s="2616">
        <v>20</v>
      </c>
      <c r="FI16" s="2616">
        <v>12</v>
      </c>
      <c r="FJ16" s="2616">
        <v>48</v>
      </c>
      <c r="FK16" s="2616">
        <v>69</v>
      </c>
      <c r="FL16" s="2616">
        <v>197</v>
      </c>
      <c r="FM16" s="2616">
        <v>136</v>
      </c>
      <c r="FN16" s="2616">
        <v>294</v>
      </c>
      <c r="FO16" s="2617">
        <v>368</v>
      </c>
      <c r="FP16" s="2615">
        <v>308</v>
      </c>
      <c r="FQ16" s="2616">
        <v>198</v>
      </c>
      <c r="FR16" s="2616">
        <v>231</v>
      </c>
      <c r="FS16" s="2616">
        <v>238</v>
      </c>
      <c r="FT16" s="2616">
        <v>367</v>
      </c>
      <c r="FU16" s="2616">
        <v>237</v>
      </c>
      <c r="FV16" s="2616">
        <v>352</v>
      </c>
      <c r="FW16" s="2616">
        <v>337</v>
      </c>
      <c r="FX16" s="2616">
        <v>235</v>
      </c>
      <c r="FY16" s="2616">
        <v>350</v>
      </c>
      <c r="FZ16" s="2616">
        <v>453</v>
      </c>
      <c r="GA16" s="2617">
        <v>482</v>
      </c>
      <c r="GB16" s="4656">
        <v>502</v>
      </c>
      <c r="GC16" s="4657">
        <v>519</v>
      </c>
      <c r="GD16" s="4657">
        <v>516</v>
      </c>
      <c r="GE16" s="4657">
        <v>731</v>
      </c>
      <c r="GF16" s="4657">
        <v>686</v>
      </c>
      <c r="GG16" s="4657"/>
      <c r="GH16" s="4657"/>
      <c r="GI16" s="4657"/>
      <c r="GJ16" s="4657"/>
      <c r="GK16" s="4657"/>
      <c r="GL16" s="4657"/>
      <c r="GM16" s="4658"/>
      <c r="GN16" s="2607"/>
      <c r="GO16" s="2754">
        <v>1648</v>
      </c>
      <c r="GP16" s="2755">
        <v>1457</v>
      </c>
      <c r="GQ16" s="2755">
        <v>1923</v>
      </c>
      <c r="GR16" s="2756">
        <v>2111</v>
      </c>
      <c r="GS16" s="2757">
        <v>2649</v>
      </c>
      <c r="GT16" s="2758">
        <v>2619</v>
      </c>
      <c r="GU16" s="2758">
        <v>2761</v>
      </c>
      <c r="GV16" s="2759">
        <v>2185</v>
      </c>
      <c r="GW16" s="2760">
        <v>2060</v>
      </c>
      <c r="GX16" s="2761">
        <v>1959</v>
      </c>
      <c r="GY16" s="2762">
        <v>2400</v>
      </c>
      <c r="GZ16" s="2762">
        <v>2450</v>
      </c>
      <c r="HA16" s="2763">
        <v>2283</v>
      </c>
      <c r="HB16" s="2764">
        <v>2195</v>
      </c>
      <c r="HC16" s="2764">
        <v>2589</v>
      </c>
      <c r="HD16" s="2765">
        <v>2492</v>
      </c>
      <c r="HE16" s="2766">
        <v>2589</v>
      </c>
      <c r="HF16" s="2767">
        <v>2395</v>
      </c>
      <c r="HG16" s="2767">
        <v>2660</v>
      </c>
      <c r="HH16" s="2768">
        <v>2539</v>
      </c>
      <c r="HI16" s="2764">
        <v>2424</v>
      </c>
      <c r="HJ16" s="2764">
        <v>2894</v>
      </c>
      <c r="HK16" s="2764">
        <v>3094</v>
      </c>
      <c r="HL16" s="2764">
        <v>2978</v>
      </c>
      <c r="HM16" s="2769">
        <v>2447</v>
      </c>
      <c r="HN16" s="2769">
        <v>2626</v>
      </c>
      <c r="HO16" s="2769">
        <v>2642</v>
      </c>
      <c r="HP16" s="2769">
        <v>3337</v>
      </c>
      <c r="HQ16" s="2770">
        <v>3246</v>
      </c>
      <c r="HR16" s="2770">
        <v>2927</v>
      </c>
      <c r="HS16" s="2770">
        <f t="shared" si="1"/>
        <v>3298</v>
      </c>
      <c r="HT16" s="2770">
        <v>4237</v>
      </c>
      <c r="HU16" s="2771">
        <v>3632</v>
      </c>
      <c r="HV16" s="2771">
        <f t="shared" si="2"/>
        <v>3010</v>
      </c>
      <c r="HW16" s="2771">
        <f t="shared" si="3"/>
        <v>3025</v>
      </c>
      <c r="HX16" s="2770">
        <f t="shared" si="4"/>
        <v>3268</v>
      </c>
      <c r="HY16" s="2689">
        <f t="shared" si="5"/>
        <v>2447</v>
      </c>
      <c r="HZ16" s="2689">
        <f t="shared" si="6"/>
        <v>2308</v>
      </c>
      <c r="IA16" s="2689">
        <f t="shared" si="7"/>
        <v>2730</v>
      </c>
      <c r="IB16" s="2689">
        <f t="shared" si="8"/>
        <v>3208</v>
      </c>
      <c r="IC16" s="2764">
        <f t="shared" si="9"/>
        <v>2816</v>
      </c>
      <c r="ID16" s="2764">
        <f t="shared" si="10"/>
        <v>2946</v>
      </c>
      <c r="IE16" s="2764">
        <f t="shared" si="11"/>
        <v>3053</v>
      </c>
      <c r="IF16" s="2764">
        <f t="shared" si="12"/>
        <v>3161</v>
      </c>
      <c r="IG16" s="2772">
        <f t="shared" si="13"/>
        <v>3060</v>
      </c>
      <c r="IH16" s="2769">
        <f t="shared" si="14"/>
        <v>3093</v>
      </c>
      <c r="II16" s="2769">
        <f t="shared" si="15"/>
        <v>3344</v>
      </c>
      <c r="IJ16" s="2769">
        <f t="shared" si="16"/>
        <v>3559</v>
      </c>
      <c r="IK16" s="2773">
        <f t="shared" si="17"/>
        <v>4319</v>
      </c>
      <c r="IL16" s="2774">
        <f t="shared" si="18"/>
        <v>4718</v>
      </c>
      <c r="IM16" s="2774">
        <f t="shared" si="19"/>
        <v>5295</v>
      </c>
      <c r="IN16" s="2774">
        <f t="shared" si="20"/>
        <v>4013</v>
      </c>
      <c r="IO16" s="2775">
        <f t="shared" si="21"/>
        <v>3700</v>
      </c>
      <c r="IP16" s="2776">
        <f t="shared" si="22"/>
        <v>44</v>
      </c>
      <c r="IQ16" s="2776">
        <f>EX16+EY16+EZ16</f>
        <v>5295</v>
      </c>
      <c r="IR16" s="2777">
        <f t="shared" si="24"/>
        <v>798</v>
      </c>
      <c r="IS16" s="2772">
        <f t="shared" si="25"/>
        <v>737</v>
      </c>
      <c r="IT16" s="2769">
        <f t="shared" si="26"/>
        <v>842</v>
      </c>
      <c r="IU16" s="2769">
        <f t="shared" si="27"/>
        <v>924</v>
      </c>
      <c r="IV16" s="2769">
        <f t="shared" si="28"/>
        <v>1285</v>
      </c>
      <c r="IW16" s="3976">
        <f t="shared" si="46"/>
        <v>1537</v>
      </c>
      <c r="IX16" s="2764">
        <f t="shared" si="47"/>
        <v>1417</v>
      </c>
      <c r="IY16" s="2764">
        <f t="shared" si="48"/>
        <v>0</v>
      </c>
      <c r="IZ16" s="3977">
        <f t="shared" si="49"/>
        <v>0</v>
      </c>
      <c r="JA16" s="3957"/>
      <c r="JB16" s="3358">
        <v>7139</v>
      </c>
      <c r="JC16" s="3359">
        <v>10214</v>
      </c>
      <c r="JD16" s="3359">
        <v>8869</v>
      </c>
      <c r="JE16" s="3359">
        <v>9559</v>
      </c>
      <c r="JF16" s="3359">
        <v>10183</v>
      </c>
      <c r="JG16" s="3359">
        <v>11390</v>
      </c>
      <c r="JH16" s="3360">
        <v>11052</v>
      </c>
      <c r="JI16" s="3361">
        <v>13708</v>
      </c>
      <c r="JJ16" s="3361">
        <f t="shared" si="29"/>
        <v>12935</v>
      </c>
      <c r="JK16" s="3361">
        <f t="shared" si="30"/>
        <v>10623</v>
      </c>
      <c r="JL16" s="3361">
        <f t="shared" si="31"/>
        <v>11976</v>
      </c>
      <c r="JM16" s="3361">
        <f t="shared" si="32"/>
        <v>13056</v>
      </c>
      <c r="JN16" s="3362">
        <f t="shared" si="0"/>
        <v>18345</v>
      </c>
      <c r="JO16" s="3380">
        <f t="shared" si="33"/>
        <v>4856</v>
      </c>
      <c r="JP16" s="3378">
        <f t="shared" si="50"/>
        <v>3788</v>
      </c>
      <c r="JQ16" s="3377">
        <f t="shared" si="51"/>
        <v>5400</v>
      </c>
      <c r="JS16" s="4673">
        <f t="shared" si="52"/>
        <v>506</v>
      </c>
      <c r="JT16" s="3579">
        <f t="shared" si="53"/>
        <v>2954</v>
      </c>
      <c r="JU16" s="2525"/>
      <c r="JV16" s="3365">
        <f t="shared" si="54"/>
        <v>4681.333333333333</v>
      </c>
      <c r="JW16" s="3366">
        <f t="shared" si="34"/>
        <v>1.6925685041728672E-2</v>
      </c>
      <c r="JX16" s="3366">
        <f t="shared" si="35"/>
        <v>1.8341907490990624E-2</v>
      </c>
      <c r="JY16" s="3366">
        <f t="shared" si="55"/>
        <v>1.9004366812227075E-2</v>
      </c>
      <c r="JZ16" s="3366">
        <f t="shared" si="36"/>
        <v>2.6703056768558952E-2</v>
      </c>
      <c r="KA16" s="3366">
        <f t="shared" si="37"/>
        <v>2.5440733464309102E-2</v>
      </c>
      <c r="KB16" s="4688">
        <f t="shared" si="38"/>
        <v>1.3480618941194893E-2</v>
      </c>
      <c r="KC16" s="4691">
        <f t="shared" si="56"/>
        <v>1.1287837772867801E-2</v>
      </c>
      <c r="KD16" s="3366"/>
      <c r="KE16" s="3368">
        <f t="shared" si="39"/>
        <v>0.12736515108726354</v>
      </c>
      <c r="KF16" s="3369">
        <f t="shared" si="40"/>
        <v>-0.55932097022184579</v>
      </c>
      <c r="KG16" s="3369">
        <f t="shared" si="41"/>
        <v>9.0180360721442865E-2</v>
      </c>
      <c r="KH16" s="3369">
        <f t="shared" si="42"/>
        <v>0.40510110294117641</v>
      </c>
      <c r="KI16" s="3369">
        <f t="shared" si="43"/>
        <v>-0.73529572090487871</v>
      </c>
      <c r="KJ16" s="3368">
        <f t="shared" si="44"/>
        <v>-0.79351321886072501</v>
      </c>
      <c r="KK16" s="3369">
        <f t="shared" si="57"/>
        <v>-0.21993410214168041</v>
      </c>
      <c r="KL16" s="4678">
        <f>JQ16/JN16-1</f>
        <v>-0.70564186426819298</v>
      </c>
      <c r="KM16" s="4678">
        <f t="shared" si="58"/>
        <v>0.42555438225976761</v>
      </c>
      <c r="KN16" s="3045"/>
      <c r="KO16" s="3045"/>
      <c r="KP16" s="3045"/>
      <c r="KQ16" s="3045"/>
      <c r="KR16" s="3045"/>
      <c r="KS16" s="3045"/>
      <c r="KT16" s="3045"/>
      <c r="KU16" s="3045"/>
      <c r="KV16" s="3045"/>
      <c r="KW16" s="3045"/>
      <c r="KX16" s="3045"/>
      <c r="KY16" s="3045"/>
      <c r="KZ16" s="3045"/>
      <c r="LA16" s="3045"/>
      <c r="LB16" s="3045"/>
      <c r="LC16" s="3045"/>
      <c r="LD16" s="3045"/>
      <c r="LE16" s="3045"/>
      <c r="LF16" s="3045"/>
      <c r="LG16" s="3045"/>
      <c r="LH16" s="3045"/>
      <c r="LI16" s="3045"/>
      <c r="LJ16" s="3045"/>
      <c r="LK16" s="2525"/>
      <c r="LL16" s="2525"/>
      <c r="LM16" s="2525"/>
      <c r="LN16" s="2525"/>
      <c r="LO16" s="2525"/>
      <c r="LP16" s="2525"/>
      <c r="LQ16" s="2525"/>
      <c r="LR16" s="2525"/>
    </row>
    <row r="17" spans="1:330" ht="21.9" customHeight="1">
      <c r="A17" s="3382"/>
      <c r="B17" s="3045"/>
      <c r="C17" s="3381" t="s">
        <v>20</v>
      </c>
      <c r="D17" s="3330">
        <v>549</v>
      </c>
      <c r="E17" s="3331">
        <v>378</v>
      </c>
      <c r="F17" s="3331">
        <v>399</v>
      </c>
      <c r="G17" s="3331">
        <v>391</v>
      </c>
      <c r="H17" s="3331">
        <v>397</v>
      </c>
      <c r="I17" s="3331">
        <v>487</v>
      </c>
      <c r="J17" s="3331">
        <v>844</v>
      </c>
      <c r="K17" s="3331">
        <v>1198</v>
      </c>
      <c r="L17" s="3331">
        <v>469</v>
      </c>
      <c r="M17" s="3331">
        <v>573</v>
      </c>
      <c r="N17" s="3331">
        <v>556</v>
      </c>
      <c r="O17" s="3332">
        <v>606</v>
      </c>
      <c r="P17" s="3333">
        <v>658</v>
      </c>
      <c r="Q17" s="3334">
        <v>721</v>
      </c>
      <c r="R17" s="3334">
        <v>522</v>
      </c>
      <c r="S17" s="3334">
        <v>491</v>
      </c>
      <c r="T17" s="3334">
        <v>485</v>
      </c>
      <c r="U17" s="3334">
        <v>640</v>
      </c>
      <c r="V17" s="3334">
        <v>950</v>
      </c>
      <c r="W17" s="3334">
        <v>1246</v>
      </c>
      <c r="X17" s="3334">
        <v>719</v>
      </c>
      <c r="Y17" s="3334">
        <v>629</v>
      </c>
      <c r="Z17" s="3334">
        <v>701</v>
      </c>
      <c r="AA17" s="3335">
        <v>596</v>
      </c>
      <c r="AB17" s="3336">
        <v>761</v>
      </c>
      <c r="AC17" s="3337">
        <v>540</v>
      </c>
      <c r="AD17" s="3337">
        <v>496</v>
      </c>
      <c r="AE17" s="3337">
        <v>503</v>
      </c>
      <c r="AF17" s="3337">
        <v>608</v>
      </c>
      <c r="AG17" s="3337">
        <v>713</v>
      </c>
      <c r="AH17" s="3337">
        <v>1022</v>
      </c>
      <c r="AI17" s="3337">
        <v>1396</v>
      </c>
      <c r="AJ17" s="3337">
        <v>602</v>
      </c>
      <c r="AK17" s="3337">
        <v>609</v>
      </c>
      <c r="AL17" s="3337">
        <v>680</v>
      </c>
      <c r="AM17" s="3338">
        <v>666</v>
      </c>
      <c r="AN17" s="3339">
        <v>637</v>
      </c>
      <c r="AO17" s="3340">
        <v>545</v>
      </c>
      <c r="AP17" s="3340">
        <v>550</v>
      </c>
      <c r="AQ17" s="3340">
        <v>538</v>
      </c>
      <c r="AR17" s="3340">
        <v>528</v>
      </c>
      <c r="AS17" s="3340">
        <v>635</v>
      </c>
      <c r="AT17" s="3340">
        <v>849</v>
      </c>
      <c r="AU17" s="3340">
        <v>1276</v>
      </c>
      <c r="AV17" s="3340">
        <v>521</v>
      </c>
      <c r="AW17" s="3340">
        <v>614</v>
      </c>
      <c r="AX17" s="3340">
        <v>715</v>
      </c>
      <c r="AY17" s="3341">
        <v>639</v>
      </c>
      <c r="AZ17" s="3277">
        <v>595</v>
      </c>
      <c r="BA17" s="3277">
        <v>497</v>
      </c>
      <c r="BB17" s="3277">
        <v>505</v>
      </c>
      <c r="BC17" s="3277">
        <v>417</v>
      </c>
      <c r="BD17" s="3277">
        <v>543</v>
      </c>
      <c r="BE17" s="3277">
        <v>559</v>
      </c>
      <c r="BF17" s="3277">
        <v>777</v>
      </c>
      <c r="BG17" s="3277">
        <v>1289</v>
      </c>
      <c r="BH17" s="3277">
        <v>535</v>
      </c>
      <c r="BI17" s="3277">
        <v>653</v>
      </c>
      <c r="BJ17" s="3277">
        <v>682</v>
      </c>
      <c r="BK17" s="3374">
        <v>664</v>
      </c>
      <c r="BL17" s="3344">
        <v>551</v>
      </c>
      <c r="BM17" s="3345">
        <v>522</v>
      </c>
      <c r="BN17" s="3345">
        <v>534</v>
      </c>
      <c r="BO17" s="3345">
        <v>525</v>
      </c>
      <c r="BP17" s="3345">
        <v>544</v>
      </c>
      <c r="BQ17" s="3345">
        <v>656</v>
      </c>
      <c r="BR17" s="3345">
        <v>836</v>
      </c>
      <c r="BS17" s="3345">
        <v>1119</v>
      </c>
      <c r="BT17" s="3346">
        <v>550</v>
      </c>
      <c r="BU17" s="3346">
        <v>658</v>
      </c>
      <c r="BV17" s="3346">
        <v>688</v>
      </c>
      <c r="BW17" s="3347">
        <v>574</v>
      </c>
      <c r="BX17" s="3348">
        <v>600</v>
      </c>
      <c r="BY17" s="3273">
        <v>512</v>
      </c>
      <c r="BZ17" s="3273">
        <v>542</v>
      </c>
      <c r="CA17" s="3273">
        <v>511</v>
      </c>
      <c r="CB17" s="3273">
        <v>483</v>
      </c>
      <c r="CC17" s="3273">
        <v>646</v>
      </c>
      <c r="CD17" s="3273">
        <v>665</v>
      </c>
      <c r="CE17" s="3273">
        <v>935</v>
      </c>
      <c r="CF17" s="3273">
        <v>579</v>
      </c>
      <c r="CG17" s="3273">
        <v>611</v>
      </c>
      <c r="CH17" s="3273">
        <v>678</v>
      </c>
      <c r="CI17" s="3275">
        <v>758</v>
      </c>
      <c r="CJ17" s="3349">
        <v>698</v>
      </c>
      <c r="CK17" s="3350">
        <v>643</v>
      </c>
      <c r="CL17" s="3350">
        <v>609</v>
      </c>
      <c r="CM17" s="3350">
        <v>572</v>
      </c>
      <c r="CN17" s="3350">
        <v>490</v>
      </c>
      <c r="CO17" s="3350">
        <v>643</v>
      </c>
      <c r="CP17" s="3350">
        <v>814</v>
      </c>
      <c r="CQ17" s="3350">
        <v>1057</v>
      </c>
      <c r="CR17" s="3350">
        <v>554</v>
      </c>
      <c r="CS17" s="3350">
        <v>636</v>
      </c>
      <c r="CT17" s="3350">
        <v>734</v>
      </c>
      <c r="CU17" s="3351">
        <v>716</v>
      </c>
      <c r="CV17" s="3349">
        <v>704</v>
      </c>
      <c r="CW17" s="3350">
        <v>575</v>
      </c>
      <c r="CX17" s="3272">
        <v>571</v>
      </c>
      <c r="CY17" s="3272">
        <v>525</v>
      </c>
      <c r="CZ17" s="3272">
        <v>537</v>
      </c>
      <c r="DA17" s="3272">
        <v>740</v>
      </c>
      <c r="DB17" s="3272">
        <v>857</v>
      </c>
      <c r="DC17" s="3272">
        <v>1052</v>
      </c>
      <c r="DD17" s="3272">
        <v>643</v>
      </c>
      <c r="DE17" s="3272">
        <v>549</v>
      </c>
      <c r="DF17" s="3272">
        <v>656</v>
      </c>
      <c r="DG17" s="3351">
        <v>699</v>
      </c>
      <c r="DH17" s="3352">
        <v>630</v>
      </c>
      <c r="DI17" s="3353">
        <v>567</v>
      </c>
      <c r="DJ17" s="3353">
        <v>515</v>
      </c>
      <c r="DK17" s="3354">
        <v>517</v>
      </c>
      <c r="DL17" s="3354">
        <v>530</v>
      </c>
      <c r="DM17" s="3354">
        <v>594</v>
      </c>
      <c r="DN17" s="3354">
        <v>797</v>
      </c>
      <c r="DO17" s="3354">
        <v>968</v>
      </c>
      <c r="DP17" s="2556">
        <v>506</v>
      </c>
      <c r="DQ17" s="3354">
        <v>663</v>
      </c>
      <c r="DR17" s="3354">
        <v>605</v>
      </c>
      <c r="DS17" s="3355">
        <v>640</v>
      </c>
      <c r="DT17" s="3356">
        <v>661</v>
      </c>
      <c r="DU17" s="3243">
        <v>472</v>
      </c>
      <c r="DV17" s="3243">
        <v>508</v>
      </c>
      <c r="DW17" s="3164">
        <v>543</v>
      </c>
      <c r="DX17" s="3164">
        <v>594</v>
      </c>
      <c r="DY17" s="3164">
        <v>673</v>
      </c>
      <c r="DZ17" s="3164">
        <v>769</v>
      </c>
      <c r="EA17" s="3164">
        <v>922</v>
      </c>
      <c r="EB17" s="3164">
        <v>542</v>
      </c>
      <c r="EC17" s="3164">
        <v>601</v>
      </c>
      <c r="ED17" s="3164">
        <v>691</v>
      </c>
      <c r="EE17" s="3163">
        <v>768</v>
      </c>
      <c r="EF17" s="2532">
        <v>637</v>
      </c>
      <c r="EG17" s="2531">
        <v>567</v>
      </c>
      <c r="EH17" s="2531">
        <v>562</v>
      </c>
      <c r="EI17" s="2531">
        <v>572</v>
      </c>
      <c r="EJ17" s="2531">
        <v>529</v>
      </c>
      <c r="EK17" s="2531">
        <v>741</v>
      </c>
      <c r="EL17" s="2531">
        <v>937</v>
      </c>
      <c r="EM17" s="2557">
        <v>1050</v>
      </c>
      <c r="EN17" s="2557">
        <v>478</v>
      </c>
      <c r="EO17" s="2558">
        <v>576</v>
      </c>
      <c r="EP17" s="2558">
        <v>721</v>
      </c>
      <c r="EQ17" s="2559">
        <v>705</v>
      </c>
      <c r="ER17" s="1323">
        <v>645</v>
      </c>
      <c r="ES17" s="3357">
        <v>546</v>
      </c>
      <c r="ET17" s="3357">
        <v>565</v>
      </c>
      <c r="EU17" s="2560">
        <v>674</v>
      </c>
      <c r="EV17" s="2107">
        <v>751</v>
      </c>
      <c r="EW17" s="2107">
        <v>951</v>
      </c>
      <c r="EX17" s="2107">
        <v>1213</v>
      </c>
      <c r="EY17" s="2107">
        <v>1585</v>
      </c>
      <c r="EZ17" s="2107">
        <v>988</v>
      </c>
      <c r="FA17" s="2275">
        <v>728</v>
      </c>
      <c r="FB17" s="2275">
        <v>1072</v>
      </c>
      <c r="FC17" s="2275">
        <v>1209</v>
      </c>
      <c r="FD17" s="2608">
        <v>1044</v>
      </c>
      <c r="FE17" s="2609">
        <v>854</v>
      </c>
      <c r="FF17" s="2609">
        <v>254</v>
      </c>
      <c r="FG17" s="2609">
        <v>4</v>
      </c>
      <c r="FH17" s="2609">
        <v>15</v>
      </c>
      <c r="FI17" s="2609">
        <v>14</v>
      </c>
      <c r="FJ17" s="2609">
        <v>82</v>
      </c>
      <c r="FK17" s="2609">
        <v>59</v>
      </c>
      <c r="FL17" s="2609">
        <v>126</v>
      </c>
      <c r="FM17" s="2609">
        <v>186</v>
      </c>
      <c r="FN17" s="2609">
        <v>183</v>
      </c>
      <c r="FO17" s="2610">
        <v>227</v>
      </c>
      <c r="FP17" s="2608">
        <v>238</v>
      </c>
      <c r="FQ17" s="2609">
        <v>155</v>
      </c>
      <c r="FR17" s="2609">
        <v>187</v>
      </c>
      <c r="FS17" s="2609">
        <v>208</v>
      </c>
      <c r="FT17" s="2609">
        <v>228</v>
      </c>
      <c r="FU17" s="2609">
        <v>318</v>
      </c>
      <c r="FV17" s="2609">
        <v>424</v>
      </c>
      <c r="FW17" s="2609">
        <v>471</v>
      </c>
      <c r="FX17" s="2609">
        <v>371</v>
      </c>
      <c r="FY17" s="2609">
        <v>517</v>
      </c>
      <c r="FZ17" s="2609">
        <v>515</v>
      </c>
      <c r="GA17" s="2610">
        <v>606</v>
      </c>
      <c r="GB17" s="4659">
        <v>468</v>
      </c>
      <c r="GC17" s="4660">
        <v>411</v>
      </c>
      <c r="GD17" s="4660">
        <v>539</v>
      </c>
      <c r="GE17" s="4660">
        <v>560</v>
      </c>
      <c r="GF17" s="4660">
        <v>676</v>
      </c>
      <c r="GG17" s="4660"/>
      <c r="GH17" s="4660"/>
      <c r="GI17" s="4660"/>
      <c r="GJ17" s="4660"/>
      <c r="GK17" s="4660"/>
      <c r="GL17" s="4660"/>
      <c r="GM17" s="4661"/>
      <c r="GN17" s="2607"/>
      <c r="GO17" s="2754">
        <v>1326</v>
      </c>
      <c r="GP17" s="2755">
        <v>1275</v>
      </c>
      <c r="GQ17" s="2755">
        <v>2511</v>
      </c>
      <c r="GR17" s="2756">
        <v>1735</v>
      </c>
      <c r="GS17" s="2757">
        <v>1901</v>
      </c>
      <c r="GT17" s="2758">
        <v>1616</v>
      </c>
      <c r="GU17" s="2758">
        <v>2915</v>
      </c>
      <c r="GV17" s="2759">
        <v>1926</v>
      </c>
      <c r="GW17" s="2760">
        <v>1797</v>
      </c>
      <c r="GX17" s="2761">
        <v>1824</v>
      </c>
      <c r="GY17" s="2762">
        <v>3020</v>
      </c>
      <c r="GZ17" s="2762">
        <v>1955</v>
      </c>
      <c r="HA17" s="2763">
        <v>1732</v>
      </c>
      <c r="HB17" s="2764">
        <v>1701</v>
      </c>
      <c r="HC17" s="2764">
        <v>2646</v>
      </c>
      <c r="HD17" s="2765">
        <v>1968</v>
      </c>
      <c r="HE17" s="2766">
        <v>1597</v>
      </c>
      <c r="HF17" s="2767">
        <v>1519</v>
      </c>
      <c r="HG17" s="2767">
        <v>2601</v>
      </c>
      <c r="HH17" s="2768">
        <v>1999</v>
      </c>
      <c r="HI17" s="2764">
        <v>1607</v>
      </c>
      <c r="HJ17" s="2764">
        <v>1725</v>
      </c>
      <c r="HK17" s="2764">
        <v>2505</v>
      </c>
      <c r="HL17" s="2764">
        <v>1920</v>
      </c>
      <c r="HM17" s="2769">
        <v>1654</v>
      </c>
      <c r="HN17" s="2769">
        <v>1640</v>
      </c>
      <c r="HO17" s="2769">
        <v>2179</v>
      </c>
      <c r="HP17" s="2769">
        <v>2047</v>
      </c>
      <c r="HQ17" s="2770">
        <v>1950</v>
      </c>
      <c r="HR17" s="2770">
        <v>1705</v>
      </c>
      <c r="HS17" s="2770">
        <f t="shared" si="1"/>
        <v>2425</v>
      </c>
      <c r="HT17" s="2770">
        <v>2086</v>
      </c>
      <c r="HU17" s="2771">
        <v>1850</v>
      </c>
      <c r="HV17" s="2771">
        <f t="shared" si="2"/>
        <v>1802</v>
      </c>
      <c r="HW17" s="2771">
        <f t="shared" si="3"/>
        <v>2552</v>
      </c>
      <c r="HX17" s="2770">
        <f t="shared" si="4"/>
        <v>1904</v>
      </c>
      <c r="HY17" s="2689">
        <f t="shared" si="5"/>
        <v>1712</v>
      </c>
      <c r="HZ17" s="2689">
        <f t="shared" si="6"/>
        <v>1641</v>
      </c>
      <c r="IA17" s="2689">
        <f t="shared" si="7"/>
        <v>2405</v>
      </c>
      <c r="IB17" s="2689">
        <f t="shared" si="8"/>
        <v>1908</v>
      </c>
      <c r="IC17" s="2764">
        <f t="shared" si="9"/>
        <v>1641</v>
      </c>
      <c r="ID17" s="2764">
        <f t="shared" si="10"/>
        <v>1810</v>
      </c>
      <c r="IE17" s="2764">
        <f t="shared" si="11"/>
        <v>2233</v>
      </c>
      <c r="IF17" s="2764">
        <f t="shared" si="12"/>
        <v>2060</v>
      </c>
      <c r="IG17" s="2772">
        <f t="shared" si="13"/>
        <v>1766</v>
      </c>
      <c r="IH17" s="2769">
        <f t="shared" si="14"/>
        <v>1842</v>
      </c>
      <c r="II17" s="2769">
        <f t="shared" si="15"/>
        <v>2465</v>
      </c>
      <c r="IJ17" s="2769">
        <f t="shared" si="16"/>
        <v>2002</v>
      </c>
      <c r="IK17" s="2773">
        <f t="shared" si="17"/>
        <v>1756</v>
      </c>
      <c r="IL17" s="2774">
        <f t="shared" si="18"/>
        <v>2376</v>
      </c>
      <c r="IM17" s="2774">
        <f t="shared" si="19"/>
        <v>3786</v>
      </c>
      <c r="IN17" s="2774">
        <f t="shared" si="20"/>
        <v>3009</v>
      </c>
      <c r="IO17" s="2775">
        <f t="shared" si="21"/>
        <v>2152</v>
      </c>
      <c r="IP17" s="2776">
        <f t="shared" si="22"/>
        <v>33</v>
      </c>
      <c r="IQ17" s="2776">
        <f>FJ17+FK17+FL17</f>
        <v>267</v>
      </c>
      <c r="IR17" s="2777">
        <f t="shared" si="24"/>
        <v>596</v>
      </c>
      <c r="IS17" s="2772">
        <f t="shared" si="25"/>
        <v>580</v>
      </c>
      <c r="IT17" s="2769">
        <f t="shared" si="26"/>
        <v>754</v>
      </c>
      <c r="IU17" s="2769">
        <f t="shared" si="27"/>
        <v>1266</v>
      </c>
      <c r="IV17" s="2769">
        <f t="shared" si="28"/>
        <v>1638</v>
      </c>
      <c r="IW17" s="3961">
        <f t="shared" si="46"/>
        <v>1418</v>
      </c>
      <c r="IX17" s="3953">
        <f t="shared" si="47"/>
        <v>1236</v>
      </c>
      <c r="IY17" s="3953">
        <f t="shared" si="48"/>
        <v>0</v>
      </c>
      <c r="IZ17" s="3962">
        <f t="shared" si="49"/>
        <v>0</v>
      </c>
      <c r="JA17" s="3957"/>
      <c r="JB17" s="3358">
        <v>6847</v>
      </c>
      <c r="JC17" s="3359">
        <v>8358</v>
      </c>
      <c r="JD17" s="3359">
        <v>8596</v>
      </c>
      <c r="JE17" s="3359">
        <v>8047</v>
      </c>
      <c r="JF17" s="3359">
        <v>7716</v>
      </c>
      <c r="JG17" s="3359">
        <v>7757</v>
      </c>
      <c r="JH17" s="3360">
        <v>7520</v>
      </c>
      <c r="JI17" s="3361">
        <v>8166</v>
      </c>
      <c r="JJ17" s="3361">
        <f t="shared" si="29"/>
        <v>8108</v>
      </c>
      <c r="JK17" s="3361">
        <f t="shared" si="30"/>
        <v>7532</v>
      </c>
      <c r="JL17" s="3361">
        <f t="shared" si="31"/>
        <v>7744</v>
      </c>
      <c r="JM17" s="3361">
        <f t="shared" si="32"/>
        <v>8075</v>
      </c>
      <c r="JN17" s="3362">
        <f t="shared" si="0"/>
        <v>10927</v>
      </c>
      <c r="JO17" s="3380">
        <f t="shared" si="33"/>
        <v>3048</v>
      </c>
      <c r="JP17" s="3378">
        <f t="shared" si="50"/>
        <v>4238</v>
      </c>
      <c r="JQ17" s="3377">
        <f t="shared" si="51"/>
        <v>5876</v>
      </c>
      <c r="JS17" s="4673">
        <f t="shared" si="52"/>
        <v>393</v>
      </c>
      <c r="JT17" s="3579">
        <f t="shared" si="53"/>
        <v>2654</v>
      </c>
      <c r="JU17" s="2525"/>
      <c r="JV17" s="3365">
        <f t="shared" si="54"/>
        <v>4387.333333333333</v>
      </c>
      <c r="JW17" s="3366">
        <f t="shared" si="34"/>
        <v>1.2000777533116857E-2</v>
      </c>
      <c r="JX17" s="3366">
        <f t="shared" si="35"/>
        <v>1.1860365030914446E-2</v>
      </c>
      <c r="JY17" s="3366">
        <f t="shared" si="55"/>
        <v>1.1754002911208152E-2</v>
      </c>
      <c r="JZ17" s="3366">
        <f t="shared" si="36"/>
        <v>1.5905385735080057E-2</v>
      </c>
      <c r="KA17" s="3366">
        <f t="shared" si="37"/>
        <v>1.5968565815324166E-2</v>
      </c>
      <c r="KB17" s="4688">
        <f t="shared" si="38"/>
        <v>1.5082065225127761E-2</v>
      </c>
      <c r="KC17" s="4691">
        <f t="shared" si="56"/>
        <v>1.2282839769142814E-2</v>
      </c>
      <c r="KD17" s="3366"/>
      <c r="KE17" s="3368">
        <f t="shared" si="39"/>
        <v>2.814657461497605E-2</v>
      </c>
      <c r="KF17" s="3369">
        <f t="shared" si="40"/>
        <v>-0.41750752345547892</v>
      </c>
      <c r="KG17" s="3369">
        <f t="shared" si="41"/>
        <v>4.2742768595041225E-2</v>
      </c>
      <c r="KH17" s="3369">
        <f t="shared" si="42"/>
        <v>0.35318885448916415</v>
      </c>
      <c r="KI17" s="3369">
        <f t="shared" si="43"/>
        <v>-0.72105792989841677</v>
      </c>
      <c r="KJ17" s="3368">
        <f t="shared" si="44"/>
        <v>-0.61215338153198506</v>
      </c>
      <c r="KK17" s="3369">
        <f t="shared" si="57"/>
        <v>0.39041994750656173</v>
      </c>
      <c r="KL17" s="4678">
        <f t="shared" ref="KL17:KL39" si="59">JQ17/JN17-1</f>
        <v>-0.4622494737805436</v>
      </c>
      <c r="KM17" s="4678">
        <f t="shared" si="58"/>
        <v>0.38650306748466257</v>
      </c>
      <c r="KN17" s="3045"/>
      <c r="KO17" s="3045"/>
      <c r="KP17" s="3045"/>
      <c r="KQ17" s="3045"/>
      <c r="KR17" s="3045"/>
      <c r="KS17" s="3045"/>
      <c r="KT17" s="3045"/>
      <c r="KU17" s="3045"/>
      <c r="KV17" s="3045"/>
      <c r="KW17" s="3045"/>
      <c r="KX17" s="3045"/>
      <c r="KY17" s="3045"/>
      <c r="KZ17" s="3045"/>
      <c r="LA17" s="3045"/>
      <c r="LB17" s="3045"/>
      <c r="LC17" s="3045"/>
      <c r="LD17" s="3045"/>
      <c r="LE17" s="3045"/>
      <c r="LF17" s="3045"/>
      <c r="LG17" s="3045"/>
      <c r="LH17" s="3045"/>
      <c r="LI17" s="3045"/>
      <c r="LJ17" s="3045"/>
      <c r="LK17" s="2525"/>
      <c r="LL17" s="2525"/>
      <c r="LM17" s="2525"/>
      <c r="LN17" s="2525"/>
      <c r="LO17" s="2525"/>
      <c r="LP17" s="2525"/>
      <c r="LQ17" s="2525"/>
      <c r="LR17" s="2525"/>
    </row>
    <row r="18" spans="1:330" ht="21.9" customHeight="1">
      <c r="A18" s="3382"/>
      <c r="B18" s="3045"/>
      <c r="C18" s="3381" t="s">
        <v>1620</v>
      </c>
      <c r="D18" s="3330">
        <v>133</v>
      </c>
      <c r="E18" s="3331">
        <v>92</v>
      </c>
      <c r="F18" s="3331">
        <v>219</v>
      </c>
      <c r="G18" s="3331">
        <v>122</v>
      </c>
      <c r="H18" s="3331">
        <v>192</v>
      </c>
      <c r="I18" s="3331">
        <v>123</v>
      </c>
      <c r="J18" s="3331">
        <v>158</v>
      </c>
      <c r="K18" s="3331">
        <v>152</v>
      </c>
      <c r="L18" s="3331">
        <v>231</v>
      </c>
      <c r="M18" s="3331">
        <v>178</v>
      </c>
      <c r="N18" s="3331">
        <v>149</v>
      </c>
      <c r="O18" s="3332">
        <v>195</v>
      </c>
      <c r="P18" s="3333">
        <v>187</v>
      </c>
      <c r="Q18" s="3334">
        <v>200</v>
      </c>
      <c r="R18" s="3334">
        <v>290</v>
      </c>
      <c r="S18" s="3334">
        <v>345</v>
      </c>
      <c r="T18" s="3334">
        <v>276</v>
      </c>
      <c r="U18" s="3334">
        <v>382</v>
      </c>
      <c r="V18" s="3334">
        <v>2179</v>
      </c>
      <c r="W18" s="3334">
        <v>1374</v>
      </c>
      <c r="X18" s="3334">
        <v>1684</v>
      </c>
      <c r="Y18" s="3334">
        <v>1102</v>
      </c>
      <c r="Z18" s="3334">
        <v>766</v>
      </c>
      <c r="AA18" s="3335">
        <v>229</v>
      </c>
      <c r="AB18" s="3336">
        <v>215</v>
      </c>
      <c r="AC18" s="3337">
        <v>310</v>
      </c>
      <c r="AD18" s="3337">
        <v>284</v>
      </c>
      <c r="AE18" s="3337">
        <v>259</v>
      </c>
      <c r="AF18" s="3337">
        <v>282</v>
      </c>
      <c r="AG18" s="3337">
        <v>305</v>
      </c>
      <c r="AH18" s="3337">
        <v>334</v>
      </c>
      <c r="AI18" s="3337">
        <v>413</v>
      </c>
      <c r="AJ18" s="3337">
        <v>465</v>
      </c>
      <c r="AK18" s="3337">
        <v>391</v>
      </c>
      <c r="AL18" s="3337">
        <v>626</v>
      </c>
      <c r="AM18" s="3338">
        <v>354</v>
      </c>
      <c r="AN18" s="3339">
        <v>309</v>
      </c>
      <c r="AO18" s="3340">
        <v>310</v>
      </c>
      <c r="AP18" s="3340">
        <v>261</v>
      </c>
      <c r="AQ18" s="3340">
        <v>201</v>
      </c>
      <c r="AR18" s="3340">
        <v>223</v>
      </c>
      <c r="AS18" s="3340">
        <v>264</v>
      </c>
      <c r="AT18" s="3340">
        <v>253</v>
      </c>
      <c r="AU18" s="3340">
        <v>336</v>
      </c>
      <c r="AV18" s="3340">
        <v>245</v>
      </c>
      <c r="AW18" s="3340">
        <v>111</v>
      </c>
      <c r="AX18" s="3340">
        <v>335</v>
      </c>
      <c r="AY18" s="3341">
        <v>418</v>
      </c>
      <c r="AZ18" s="3277">
        <v>275</v>
      </c>
      <c r="BA18" s="3277">
        <v>351</v>
      </c>
      <c r="BB18" s="3277">
        <v>351</v>
      </c>
      <c r="BC18" s="3277">
        <v>297</v>
      </c>
      <c r="BD18" s="3277">
        <v>296</v>
      </c>
      <c r="BE18" s="3277">
        <v>312</v>
      </c>
      <c r="BF18" s="3277">
        <v>299</v>
      </c>
      <c r="BG18" s="3277">
        <v>450</v>
      </c>
      <c r="BH18" s="3277">
        <v>428</v>
      </c>
      <c r="BI18" s="3277">
        <v>477</v>
      </c>
      <c r="BJ18" s="3277">
        <v>485</v>
      </c>
      <c r="BK18" s="3374">
        <v>438</v>
      </c>
      <c r="BL18" s="3344">
        <v>198</v>
      </c>
      <c r="BM18" s="3345">
        <v>557</v>
      </c>
      <c r="BN18" s="3345">
        <v>561</v>
      </c>
      <c r="BO18" s="3345">
        <v>523</v>
      </c>
      <c r="BP18" s="3345">
        <v>701</v>
      </c>
      <c r="BQ18" s="3345">
        <v>470</v>
      </c>
      <c r="BR18" s="3345">
        <v>598</v>
      </c>
      <c r="BS18" s="3345">
        <v>647</v>
      </c>
      <c r="BT18" s="3346">
        <v>674</v>
      </c>
      <c r="BU18" s="3346">
        <v>826</v>
      </c>
      <c r="BV18" s="3346">
        <v>646</v>
      </c>
      <c r="BW18" s="3347">
        <v>532</v>
      </c>
      <c r="BX18" s="3348">
        <v>83</v>
      </c>
      <c r="BY18" s="3273">
        <v>440</v>
      </c>
      <c r="BZ18" s="3273">
        <v>582</v>
      </c>
      <c r="CA18" s="3273">
        <v>655</v>
      </c>
      <c r="CB18" s="3273">
        <v>704</v>
      </c>
      <c r="CC18" s="3273">
        <v>612</v>
      </c>
      <c r="CD18" s="3273">
        <v>427</v>
      </c>
      <c r="CE18" s="3273">
        <v>751</v>
      </c>
      <c r="CF18" s="3273">
        <v>724</v>
      </c>
      <c r="CG18" s="3273">
        <v>697</v>
      </c>
      <c r="CH18" s="3273">
        <v>655</v>
      </c>
      <c r="CI18" s="3275">
        <v>657</v>
      </c>
      <c r="CJ18" s="3349">
        <v>636</v>
      </c>
      <c r="CK18" s="3350">
        <v>674</v>
      </c>
      <c r="CL18" s="3350">
        <v>840</v>
      </c>
      <c r="CM18" s="3350">
        <v>702</v>
      </c>
      <c r="CN18" s="3350">
        <v>659</v>
      </c>
      <c r="CO18" s="3350">
        <v>639</v>
      </c>
      <c r="CP18" s="3350">
        <v>825</v>
      </c>
      <c r="CQ18" s="3350">
        <v>721</v>
      </c>
      <c r="CR18" s="3350">
        <v>869</v>
      </c>
      <c r="CS18" s="3350">
        <v>817</v>
      </c>
      <c r="CT18" s="3350">
        <v>785</v>
      </c>
      <c r="CU18" s="3351">
        <v>701</v>
      </c>
      <c r="CV18" s="3349">
        <v>740</v>
      </c>
      <c r="CW18" s="3350">
        <v>531</v>
      </c>
      <c r="CX18" s="3272">
        <v>1029</v>
      </c>
      <c r="CY18" s="3272">
        <v>933</v>
      </c>
      <c r="CZ18" s="3272">
        <v>904</v>
      </c>
      <c r="DA18" s="3272">
        <v>798</v>
      </c>
      <c r="DB18" s="3272">
        <v>804</v>
      </c>
      <c r="DC18" s="3272">
        <v>967</v>
      </c>
      <c r="DD18" s="3272">
        <v>871</v>
      </c>
      <c r="DE18" s="3272">
        <v>837</v>
      </c>
      <c r="DF18" s="3272">
        <v>793</v>
      </c>
      <c r="DG18" s="3351">
        <v>654</v>
      </c>
      <c r="DH18" s="3352">
        <v>624</v>
      </c>
      <c r="DI18" s="3353">
        <v>600</v>
      </c>
      <c r="DJ18" s="3353">
        <v>1169</v>
      </c>
      <c r="DK18" s="3354">
        <v>845</v>
      </c>
      <c r="DL18" s="3354">
        <v>896</v>
      </c>
      <c r="DM18" s="3354">
        <v>878</v>
      </c>
      <c r="DN18" s="3354">
        <v>890</v>
      </c>
      <c r="DO18" s="3354">
        <v>1046</v>
      </c>
      <c r="DP18" s="2556">
        <v>969</v>
      </c>
      <c r="DQ18" s="3354">
        <v>1285</v>
      </c>
      <c r="DR18" s="3354">
        <v>1577</v>
      </c>
      <c r="DS18" s="3355">
        <v>1083</v>
      </c>
      <c r="DT18" s="3356">
        <v>863</v>
      </c>
      <c r="DU18" s="3243">
        <v>879</v>
      </c>
      <c r="DV18" s="3243">
        <v>1309</v>
      </c>
      <c r="DW18" s="3164">
        <v>1057</v>
      </c>
      <c r="DX18" s="3164">
        <v>1204</v>
      </c>
      <c r="DY18" s="3164">
        <v>1104</v>
      </c>
      <c r="DZ18" s="3164">
        <v>1164</v>
      </c>
      <c r="EA18" s="3164">
        <v>1313</v>
      </c>
      <c r="EB18" s="3164">
        <v>1214</v>
      </c>
      <c r="EC18" s="3164">
        <v>1036</v>
      </c>
      <c r="ED18" s="3164">
        <v>1147</v>
      </c>
      <c r="EE18" s="3163">
        <v>1102</v>
      </c>
      <c r="EF18" s="2532">
        <v>938</v>
      </c>
      <c r="EG18" s="2531">
        <v>995</v>
      </c>
      <c r="EH18" s="2531">
        <v>1373</v>
      </c>
      <c r="EI18" s="2531">
        <v>866</v>
      </c>
      <c r="EJ18" s="2531">
        <v>931</v>
      </c>
      <c r="EK18" s="2531">
        <v>952</v>
      </c>
      <c r="EL18" s="2531">
        <v>1110</v>
      </c>
      <c r="EM18" s="2557">
        <v>924</v>
      </c>
      <c r="EN18" s="2557">
        <v>1152</v>
      </c>
      <c r="EO18" s="2558">
        <v>876</v>
      </c>
      <c r="EP18" s="2558">
        <v>1153</v>
      </c>
      <c r="EQ18" s="2559">
        <v>969</v>
      </c>
      <c r="ER18" s="1320">
        <v>840</v>
      </c>
      <c r="ES18" s="3357">
        <v>981</v>
      </c>
      <c r="ET18" s="3357">
        <v>1154</v>
      </c>
      <c r="EU18" s="2560">
        <v>849</v>
      </c>
      <c r="EV18" s="2104">
        <v>1263</v>
      </c>
      <c r="EW18" s="2104">
        <v>1087</v>
      </c>
      <c r="EX18" s="2104">
        <v>1326</v>
      </c>
      <c r="EY18" s="2104">
        <v>1264</v>
      </c>
      <c r="EZ18" s="2104">
        <v>1156</v>
      </c>
      <c r="FA18" s="2275">
        <v>845</v>
      </c>
      <c r="FB18" s="2275">
        <v>961</v>
      </c>
      <c r="FC18" s="2275">
        <v>979</v>
      </c>
      <c r="FD18" s="2608">
        <v>895</v>
      </c>
      <c r="FE18" s="2609">
        <v>578</v>
      </c>
      <c r="FF18" s="2609">
        <v>220</v>
      </c>
      <c r="FG18" s="2609"/>
      <c r="FH18" s="2609"/>
      <c r="FI18" s="2609">
        <v>2</v>
      </c>
      <c r="FJ18" s="2609">
        <v>70</v>
      </c>
      <c r="FK18" s="2609">
        <v>91</v>
      </c>
      <c r="FL18" s="2609">
        <v>153</v>
      </c>
      <c r="FM18" s="2609">
        <v>172</v>
      </c>
      <c r="FN18" s="2609">
        <v>167</v>
      </c>
      <c r="FO18" s="2610">
        <v>211</v>
      </c>
      <c r="FP18" s="2608">
        <v>158</v>
      </c>
      <c r="FQ18" s="2609">
        <v>194</v>
      </c>
      <c r="FR18" s="2609">
        <v>301</v>
      </c>
      <c r="FS18" s="2609">
        <v>270</v>
      </c>
      <c r="FT18" s="2609">
        <v>275</v>
      </c>
      <c r="FU18" s="2609">
        <v>319</v>
      </c>
      <c r="FV18" s="2609">
        <v>323</v>
      </c>
      <c r="FW18" s="2609">
        <v>367</v>
      </c>
      <c r="FX18" s="2609">
        <v>296</v>
      </c>
      <c r="FY18" s="2609">
        <v>413</v>
      </c>
      <c r="FZ18" s="2609">
        <v>389</v>
      </c>
      <c r="GA18" s="2610">
        <v>428</v>
      </c>
      <c r="GB18" s="4659">
        <v>264</v>
      </c>
      <c r="GC18" s="4660">
        <v>347</v>
      </c>
      <c r="GD18" s="4660">
        <v>497</v>
      </c>
      <c r="GE18" s="4660">
        <v>638</v>
      </c>
      <c r="GF18" s="4660">
        <v>656</v>
      </c>
      <c r="GG18" s="4660"/>
      <c r="GH18" s="4660"/>
      <c r="GI18" s="4660"/>
      <c r="GJ18" s="4660"/>
      <c r="GK18" s="4660"/>
      <c r="GL18" s="4660"/>
      <c r="GM18" s="4661"/>
      <c r="GN18" s="2607"/>
      <c r="GO18" s="2754">
        <v>444</v>
      </c>
      <c r="GP18" s="2755">
        <v>437</v>
      </c>
      <c r="GQ18" s="2755">
        <v>541</v>
      </c>
      <c r="GR18" s="2756">
        <v>522</v>
      </c>
      <c r="GS18" s="2757">
        <v>677</v>
      </c>
      <c r="GT18" s="2758">
        <v>1003</v>
      </c>
      <c r="GU18" s="2758">
        <v>5237</v>
      </c>
      <c r="GV18" s="2759">
        <v>2097</v>
      </c>
      <c r="GW18" s="2760">
        <v>809</v>
      </c>
      <c r="GX18" s="2761">
        <v>846</v>
      </c>
      <c r="GY18" s="2762">
        <v>1212</v>
      </c>
      <c r="GZ18" s="2762">
        <v>1371</v>
      </c>
      <c r="HA18" s="2763">
        <v>880</v>
      </c>
      <c r="HB18" s="2764">
        <v>688</v>
      </c>
      <c r="HC18" s="2764">
        <v>834</v>
      </c>
      <c r="HD18" s="2765">
        <v>864</v>
      </c>
      <c r="HE18" s="2766">
        <v>977</v>
      </c>
      <c r="HF18" s="2767">
        <v>905</v>
      </c>
      <c r="HG18" s="2767">
        <v>1177</v>
      </c>
      <c r="HH18" s="2768">
        <v>1400</v>
      </c>
      <c r="HI18" s="2764">
        <v>1316</v>
      </c>
      <c r="HJ18" s="2764">
        <v>1694</v>
      </c>
      <c r="HK18" s="2764">
        <v>1919</v>
      </c>
      <c r="HL18" s="2764">
        <v>2004</v>
      </c>
      <c r="HM18" s="2769">
        <v>1105</v>
      </c>
      <c r="HN18" s="2769">
        <v>1971</v>
      </c>
      <c r="HO18" s="2769">
        <v>1902</v>
      </c>
      <c r="HP18" s="2769">
        <v>2009</v>
      </c>
      <c r="HQ18" s="2770">
        <v>2150</v>
      </c>
      <c r="HR18" s="2770">
        <v>2000</v>
      </c>
      <c r="HS18" s="2770">
        <f t="shared" si="1"/>
        <v>2415</v>
      </c>
      <c r="HT18" s="2770">
        <v>2303</v>
      </c>
      <c r="HU18" s="2771">
        <v>2300</v>
      </c>
      <c r="HV18" s="2771">
        <f t="shared" si="2"/>
        <v>2635</v>
      </c>
      <c r="HW18" s="2771">
        <f t="shared" si="3"/>
        <v>2642</v>
      </c>
      <c r="HX18" s="2770">
        <f t="shared" si="4"/>
        <v>2284</v>
      </c>
      <c r="HY18" s="2689">
        <f t="shared" si="5"/>
        <v>2393</v>
      </c>
      <c r="HZ18" s="2689">
        <f t="shared" si="6"/>
        <v>2619</v>
      </c>
      <c r="IA18" s="2689">
        <f t="shared" si="7"/>
        <v>3019</v>
      </c>
      <c r="IB18" s="2689">
        <f t="shared" si="8"/>
        <v>3945</v>
      </c>
      <c r="IC18" s="2764">
        <f t="shared" si="9"/>
        <v>3051</v>
      </c>
      <c r="ID18" s="2764">
        <f t="shared" si="10"/>
        <v>3365</v>
      </c>
      <c r="IE18" s="2764">
        <f t="shared" si="11"/>
        <v>3691</v>
      </c>
      <c r="IF18" s="2764">
        <f t="shared" si="12"/>
        <v>3285</v>
      </c>
      <c r="IG18" s="2772">
        <f t="shared" si="13"/>
        <v>3306</v>
      </c>
      <c r="IH18" s="2769">
        <f t="shared" si="14"/>
        <v>2749</v>
      </c>
      <c r="II18" s="2769">
        <f t="shared" si="15"/>
        <v>3186</v>
      </c>
      <c r="IJ18" s="2769">
        <f t="shared" si="16"/>
        <v>2998</v>
      </c>
      <c r="IK18" s="2773">
        <f t="shared" si="17"/>
        <v>2975</v>
      </c>
      <c r="IL18" s="2774">
        <f t="shared" si="18"/>
        <v>3199</v>
      </c>
      <c r="IM18" s="2774">
        <f t="shared" si="19"/>
        <v>3746</v>
      </c>
      <c r="IN18" s="2774">
        <f t="shared" si="20"/>
        <v>2785</v>
      </c>
      <c r="IO18" s="2775">
        <f t="shared" si="21"/>
        <v>1693</v>
      </c>
      <c r="IP18" s="2776">
        <f t="shared" si="22"/>
        <v>2</v>
      </c>
      <c r="IQ18" s="2776">
        <f>FJ18+FK18+FL18</f>
        <v>314</v>
      </c>
      <c r="IR18" s="2777">
        <f t="shared" si="24"/>
        <v>550</v>
      </c>
      <c r="IS18" s="2772">
        <f t="shared" si="25"/>
        <v>653</v>
      </c>
      <c r="IT18" s="2769">
        <f t="shared" si="26"/>
        <v>864</v>
      </c>
      <c r="IU18" s="2769">
        <f t="shared" si="27"/>
        <v>986</v>
      </c>
      <c r="IV18" s="2769">
        <f t="shared" si="28"/>
        <v>1230</v>
      </c>
      <c r="IW18" s="3961">
        <f t="shared" si="46"/>
        <v>1108</v>
      </c>
      <c r="IX18" s="3953">
        <f t="shared" si="47"/>
        <v>1294</v>
      </c>
      <c r="IY18" s="3953">
        <f t="shared" si="48"/>
        <v>0</v>
      </c>
      <c r="IZ18" s="3962">
        <f t="shared" si="49"/>
        <v>0</v>
      </c>
      <c r="JA18" s="3957"/>
      <c r="JB18" s="3358">
        <v>1944</v>
      </c>
      <c r="JC18" s="3359">
        <v>9014</v>
      </c>
      <c r="JD18" s="3359">
        <v>4238</v>
      </c>
      <c r="JE18" s="3359">
        <v>3266</v>
      </c>
      <c r="JF18" s="3359">
        <v>4459</v>
      </c>
      <c r="JG18" s="3359">
        <v>6933</v>
      </c>
      <c r="JH18" s="3360">
        <v>6987</v>
      </c>
      <c r="JI18" s="3361">
        <v>8868</v>
      </c>
      <c r="JJ18" s="3361">
        <f t="shared" si="29"/>
        <v>9861</v>
      </c>
      <c r="JK18" s="3361">
        <f t="shared" si="30"/>
        <v>11862</v>
      </c>
      <c r="JL18" s="3361">
        <f t="shared" si="31"/>
        <v>13392</v>
      </c>
      <c r="JM18" s="3361">
        <f t="shared" si="32"/>
        <v>12239</v>
      </c>
      <c r="JN18" s="3362">
        <f t="shared" si="0"/>
        <v>12705</v>
      </c>
      <c r="JO18" s="3380">
        <f t="shared" si="33"/>
        <v>2559</v>
      </c>
      <c r="JP18" s="3378">
        <f t="shared" si="50"/>
        <v>3733</v>
      </c>
      <c r="JQ18" s="3377">
        <f t="shared" si="51"/>
        <v>4937</v>
      </c>
      <c r="JS18" s="4673">
        <f t="shared" si="52"/>
        <v>352</v>
      </c>
      <c r="JT18" s="3579">
        <f t="shared" si="53"/>
        <v>2402</v>
      </c>
      <c r="JU18" s="2525"/>
      <c r="JV18" s="3365">
        <f t="shared" si="54"/>
        <v>3743</v>
      </c>
      <c r="JW18" s="3366">
        <f t="shared" si="34"/>
        <v>1.8899790639648452E-2</v>
      </c>
      <c r="JX18" s="3366">
        <f t="shared" si="35"/>
        <v>2.0510589939825189E-2</v>
      </c>
      <c r="JY18" s="3366">
        <f t="shared" si="55"/>
        <v>1.7815138282387191E-2</v>
      </c>
      <c r="JZ18" s="3366">
        <f t="shared" si="36"/>
        <v>1.8493449781659389E-2</v>
      </c>
      <c r="KA18" s="3366">
        <f t="shared" si="37"/>
        <v>1.3406679764243616E-2</v>
      </c>
      <c r="KB18" s="4688">
        <f t="shared" si="38"/>
        <v>1.3284886617603098E-2</v>
      </c>
      <c r="KC18" s="4691">
        <f t="shared" si="56"/>
        <v>1.0320010200860803E-2</v>
      </c>
      <c r="KD18" s="3366"/>
      <c r="KE18" s="3368">
        <f t="shared" si="39"/>
        <v>0.1289833080424887</v>
      </c>
      <c r="KF18" s="3369">
        <f t="shared" si="40"/>
        <v>-0.68445456078233013</v>
      </c>
      <c r="KG18" s="3369">
        <f t="shared" si="41"/>
        <v>-8.6096176821983228E-2</v>
      </c>
      <c r="KH18" s="3369">
        <f t="shared" si="42"/>
        <v>3.8075006127951561E-2</v>
      </c>
      <c r="KI18" s="3369">
        <f t="shared" si="43"/>
        <v>-0.79858323494687133</v>
      </c>
      <c r="KJ18" s="3368">
        <f t="shared" si="44"/>
        <v>-0.70617866981503341</v>
      </c>
      <c r="KK18" s="3369">
        <f t="shared" si="57"/>
        <v>0.45877295818679165</v>
      </c>
      <c r="KL18" s="4678">
        <f t="shared" si="59"/>
        <v>-0.61141282959464771</v>
      </c>
      <c r="KM18" s="4678">
        <f t="shared" si="58"/>
        <v>0.32252879721403693</v>
      </c>
      <c r="KN18" s="3045"/>
      <c r="KO18" s="3045"/>
      <c r="KP18" s="3045"/>
      <c r="KQ18" s="3045"/>
      <c r="KR18" s="3045"/>
      <c r="KS18" s="3045"/>
      <c r="KT18" s="3045"/>
      <c r="KU18" s="3045"/>
      <c r="KV18" s="3045"/>
      <c r="KW18" s="3045"/>
      <c r="KX18" s="3045"/>
      <c r="KY18" s="3045"/>
      <c r="KZ18" s="3045"/>
      <c r="LA18" s="3045"/>
      <c r="LB18" s="3045"/>
      <c r="LC18" s="3045"/>
      <c r="LD18" s="3045"/>
      <c r="LE18" s="3045"/>
      <c r="LF18" s="3045"/>
      <c r="LG18" s="3045"/>
      <c r="LH18" s="3045"/>
      <c r="LI18" s="3045"/>
      <c r="LJ18" s="3045"/>
      <c r="LK18" s="2525"/>
      <c r="LL18" s="2525"/>
      <c r="LM18" s="2525"/>
      <c r="LN18" s="2525"/>
      <c r="LO18" s="2525"/>
      <c r="LP18" s="2525"/>
      <c r="LQ18" s="2525"/>
      <c r="LR18" s="2525"/>
    </row>
    <row r="19" spans="1:330" ht="21.9" customHeight="1">
      <c r="A19" s="3372"/>
      <c r="B19" s="3045"/>
      <c r="C19" s="3373" t="s">
        <v>17</v>
      </c>
      <c r="D19" s="3330">
        <v>1097</v>
      </c>
      <c r="E19" s="3331">
        <v>1128</v>
      </c>
      <c r="F19" s="3331">
        <v>1588</v>
      </c>
      <c r="G19" s="3331">
        <v>794</v>
      </c>
      <c r="H19" s="3331">
        <v>1013</v>
      </c>
      <c r="I19" s="3331">
        <v>864</v>
      </c>
      <c r="J19" s="3331">
        <v>1335</v>
      </c>
      <c r="K19" s="3331">
        <v>1183</v>
      </c>
      <c r="L19" s="3331">
        <v>675</v>
      </c>
      <c r="M19" s="3331">
        <v>1026</v>
      </c>
      <c r="N19" s="3331">
        <v>1173</v>
      </c>
      <c r="O19" s="3332">
        <v>1378</v>
      </c>
      <c r="P19" s="3333">
        <v>1388</v>
      </c>
      <c r="Q19" s="3334">
        <v>2196</v>
      </c>
      <c r="R19" s="3334">
        <v>1673</v>
      </c>
      <c r="S19" s="3334">
        <v>1110</v>
      </c>
      <c r="T19" s="3334">
        <v>1238</v>
      </c>
      <c r="U19" s="3334">
        <v>1120</v>
      </c>
      <c r="V19" s="3334">
        <v>1523</v>
      </c>
      <c r="W19" s="3334">
        <v>1054</v>
      </c>
      <c r="X19" s="3334">
        <v>752</v>
      </c>
      <c r="Y19" s="3334">
        <v>1026</v>
      </c>
      <c r="Z19" s="3334">
        <v>1336</v>
      </c>
      <c r="AA19" s="3335">
        <v>1471</v>
      </c>
      <c r="AB19" s="3336">
        <v>1451</v>
      </c>
      <c r="AC19" s="3337">
        <v>1549</v>
      </c>
      <c r="AD19" s="3337">
        <v>1686</v>
      </c>
      <c r="AE19" s="3337">
        <v>1231</v>
      </c>
      <c r="AF19" s="3337">
        <v>1258.5</v>
      </c>
      <c r="AG19" s="3337">
        <v>1286</v>
      </c>
      <c r="AH19" s="3337">
        <v>1497</v>
      </c>
      <c r="AI19" s="3337">
        <v>1229</v>
      </c>
      <c r="AJ19" s="3337">
        <v>696</v>
      </c>
      <c r="AK19" s="3337">
        <v>955</v>
      </c>
      <c r="AL19" s="3337">
        <v>1183</v>
      </c>
      <c r="AM19" s="3338">
        <v>1674</v>
      </c>
      <c r="AN19" s="3339">
        <v>1425</v>
      </c>
      <c r="AO19" s="3340">
        <v>1645</v>
      </c>
      <c r="AP19" s="3340">
        <v>1789</v>
      </c>
      <c r="AQ19" s="3340">
        <v>1180</v>
      </c>
      <c r="AR19" s="3340">
        <v>1399</v>
      </c>
      <c r="AS19" s="3340">
        <v>1174</v>
      </c>
      <c r="AT19" s="3340">
        <v>1698</v>
      </c>
      <c r="AU19" s="3340">
        <v>1224</v>
      </c>
      <c r="AV19" s="3340">
        <v>650</v>
      </c>
      <c r="AW19" s="3340">
        <v>1101</v>
      </c>
      <c r="AX19" s="3340">
        <v>1202</v>
      </c>
      <c r="AY19" s="3341">
        <v>1523</v>
      </c>
      <c r="AZ19" s="3277">
        <v>1487</v>
      </c>
      <c r="BA19" s="3277">
        <v>1741</v>
      </c>
      <c r="BB19" s="3277">
        <v>1757</v>
      </c>
      <c r="BC19" s="3277">
        <v>1161</v>
      </c>
      <c r="BD19" s="3277">
        <v>1486</v>
      </c>
      <c r="BE19" s="3277">
        <v>1172</v>
      </c>
      <c r="BF19" s="3277">
        <v>1748</v>
      </c>
      <c r="BG19" s="3277">
        <v>1257</v>
      </c>
      <c r="BH19" s="3277">
        <v>770</v>
      </c>
      <c r="BI19" s="3277">
        <v>1371</v>
      </c>
      <c r="BJ19" s="3277">
        <v>1247</v>
      </c>
      <c r="BK19" s="3374">
        <v>1717</v>
      </c>
      <c r="BL19" s="3344">
        <v>1699</v>
      </c>
      <c r="BM19" s="3345">
        <v>1657</v>
      </c>
      <c r="BN19" s="3345">
        <v>1895</v>
      </c>
      <c r="BO19" s="3345">
        <v>1311</v>
      </c>
      <c r="BP19" s="3345">
        <v>1551</v>
      </c>
      <c r="BQ19" s="3345">
        <v>1339</v>
      </c>
      <c r="BR19" s="3345">
        <v>1694</v>
      </c>
      <c r="BS19" s="3345">
        <v>1391</v>
      </c>
      <c r="BT19" s="3346">
        <v>950</v>
      </c>
      <c r="BU19" s="3346">
        <v>1450</v>
      </c>
      <c r="BV19" s="3346">
        <v>1542</v>
      </c>
      <c r="BW19" s="3347">
        <v>1940</v>
      </c>
      <c r="BX19" s="3348">
        <v>1614</v>
      </c>
      <c r="BY19" s="3273">
        <v>1762</v>
      </c>
      <c r="BZ19" s="3273">
        <v>2027</v>
      </c>
      <c r="CA19" s="3273">
        <v>1646</v>
      </c>
      <c r="CB19" s="3273">
        <v>1560</v>
      </c>
      <c r="CC19" s="3273">
        <v>1312</v>
      </c>
      <c r="CD19" s="3273">
        <v>1894</v>
      </c>
      <c r="CE19" s="3273">
        <v>1246</v>
      </c>
      <c r="CF19" s="3273">
        <v>1069</v>
      </c>
      <c r="CG19" s="3273">
        <v>1302</v>
      </c>
      <c r="CH19" s="3273">
        <v>1849</v>
      </c>
      <c r="CI19" s="3275">
        <v>1875</v>
      </c>
      <c r="CJ19" s="3349">
        <v>1969</v>
      </c>
      <c r="CK19" s="3350">
        <v>2078</v>
      </c>
      <c r="CL19" s="3350">
        <v>2126</v>
      </c>
      <c r="CM19" s="3350">
        <v>1741</v>
      </c>
      <c r="CN19" s="3350">
        <v>1834</v>
      </c>
      <c r="CO19" s="3350">
        <v>1415</v>
      </c>
      <c r="CP19" s="3350">
        <v>1946</v>
      </c>
      <c r="CQ19" s="3350">
        <v>1377</v>
      </c>
      <c r="CR19" s="3350">
        <v>1099</v>
      </c>
      <c r="CS19" s="3350">
        <v>1315</v>
      </c>
      <c r="CT19" s="3350">
        <v>1764</v>
      </c>
      <c r="CU19" s="3351">
        <v>2184</v>
      </c>
      <c r="CV19" s="3349">
        <v>2293</v>
      </c>
      <c r="CW19" s="3350">
        <v>2373</v>
      </c>
      <c r="CX19" s="3272">
        <v>2492</v>
      </c>
      <c r="CY19" s="3272">
        <v>1804</v>
      </c>
      <c r="CZ19" s="3272">
        <v>1766</v>
      </c>
      <c r="DA19" s="3272">
        <v>1447</v>
      </c>
      <c r="DB19" s="3272">
        <v>1820</v>
      </c>
      <c r="DC19" s="3272">
        <v>1470</v>
      </c>
      <c r="DD19" s="3272">
        <v>1006</v>
      </c>
      <c r="DE19" s="3272">
        <v>1543</v>
      </c>
      <c r="DF19" s="3272">
        <v>1675</v>
      </c>
      <c r="DG19" s="3351">
        <v>1968</v>
      </c>
      <c r="DH19" s="3352">
        <v>2212</v>
      </c>
      <c r="DI19" s="3353">
        <v>2279</v>
      </c>
      <c r="DJ19" s="3353">
        <v>2405</v>
      </c>
      <c r="DK19" s="3354">
        <v>1417</v>
      </c>
      <c r="DL19" s="3354">
        <v>1492</v>
      </c>
      <c r="DM19" s="3354">
        <v>1401</v>
      </c>
      <c r="DN19" s="3354">
        <v>1771</v>
      </c>
      <c r="DO19" s="3354">
        <v>1274</v>
      </c>
      <c r="DP19" s="2556">
        <v>881</v>
      </c>
      <c r="DQ19" s="3354">
        <v>1361</v>
      </c>
      <c r="DR19" s="3354">
        <v>1421</v>
      </c>
      <c r="DS19" s="3355">
        <v>1636</v>
      </c>
      <c r="DT19" s="3356">
        <v>1773</v>
      </c>
      <c r="DU19" s="3243">
        <v>1831</v>
      </c>
      <c r="DV19" s="3243">
        <v>2120</v>
      </c>
      <c r="DW19" s="3164">
        <v>1423</v>
      </c>
      <c r="DX19" s="3164">
        <v>1427</v>
      </c>
      <c r="DY19" s="3164">
        <v>1092</v>
      </c>
      <c r="DZ19" s="3164">
        <v>1458</v>
      </c>
      <c r="EA19" s="3164">
        <v>1343</v>
      </c>
      <c r="EB19" s="3164">
        <v>861</v>
      </c>
      <c r="EC19" s="3164">
        <v>1355</v>
      </c>
      <c r="ED19" s="3164">
        <v>1698</v>
      </c>
      <c r="EE19" s="3163">
        <v>1912</v>
      </c>
      <c r="EF19" s="2532">
        <v>2025</v>
      </c>
      <c r="EG19" s="2531">
        <v>2289</v>
      </c>
      <c r="EH19" s="2531">
        <v>2452</v>
      </c>
      <c r="EI19" s="2531">
        <v>1346</v>
      </c>
      <c r="EJ19" s="2531">
        <v>1691</v>
      </c>
      <c r="EK19" s="2531">
        <v>1280</v>
      </c>
      <c r="EL19" s="2531">
        <v>1777</v>
      </c>
      <c r="EM19" s="2557">
        <v>1210</v>
      </c>
      <c r="EN19" s="2557">
        <v>1034</v>
      </c>
      <c r="EO19" s="2558">
        <v>1386</v>
      </c>
      <c r="EP19" s="2558">
        <v>1601</v>
      </c>
      <c r="EQ19" s="2559">
        <v>1810</v>
      </c>
      <c r="ER19" s="1321">
        <v>2035</v>
      </c>
      <c r="ES19" s="3357">
        <v>2191</v>
      </c>
      <c r="ET19" s="3357">
        <v>2327</v>
      </c>
      <c r="EU19" s="2560">
        <v>1596</v>
      </c>
      <c r="EV19" s="2105">
        <v>2092</v>
      </c>
      <c r="EW19" s="2105">
        <v>1594</v>
      </c>
      <c r="EX19" s="2105">
        <v>2060</v>
      </c>
      <c r="EY19" s="2105">
        <v>1657</v>
      </c>
      <c r="EZ19" s="2105">
        <v>1555</v>
      </c>
      <c r="FA19" s="2275">
        <v>1477</v>
      </c>
      <c r="FB19" s="2275">
        <v>2134</v>
      </c>
      <c r="FC19" s="2275">
        <v>3145</v>
      </c>
      <c r="FD19" s="2615">
        <v>3444</v>
      </c>
      <c r="FE19" s="2616">
        <v>3918</v>
      </c>
      <c r="FF19" s="2616">
        <v>1407</v>
      </c>
      <c r="FG19" s="2616"/>
      <c r="FH19" s="2616">
        <v>6</v>
      </c>
      <c r="FI19" s="2616">
        <v>27</v>
      </c>
      <c r="FJ19" s="2616">
        <v>81</v>
      </c>
      <c r="FK19" s="2616">
        <v>101</v>
      </c>
      <c r="FL19" s="2616">
        <v>100</v>
      </c>
      <c r="FM19" s="2616">
        <v>146</v>
      </c>
      <c r="FN19" s="2616">
        <v>248</v>
      </c>
      <c r="FO19" s="2617">
        <v>319</v>
      </c>
      <c r="FP19" s="2615">
        <v>247</v>
      </c>
      <c r="FQ19" s="2616">
        <v>101</v>
      </c>
      <c r="FR19" s="2616">
        <v>134</v>
      </c>
      <c r="FS19" s="2616">
        <v>136</v>
      </c>
      <c r="FT19" s="2616">
        <v>142</v>
      </c>
      <c r="FU19" s="2616">
        <v>185</v>
      </c>
      <c r="FV19" s="2616">
        <v>290</v>
      </c>
      <c r="FW19" s="2616">
        <v>458</v>
      </c>
      <c r="FX19" s="2616">
        <v>564</v>
      </c>
      <c r="FY19" s="2616">
        <v>855</v>
      </c>
      <c r="FZ19" s="2616">
        <v>1105</v>
      </c>
      <c r="GA19" s="2617">
        <v>1227</v>
      </c>
      <c r="GB19" s="4656">
        <v>850</v>
      </c>
      <c r="GC19" s="4657">
        <v>916</v>
      </c>
      <c r="GD19" s="4657">
        <v>1252</v>
      </c>
      <c r="GE19" s="4657">
        <v>1221</v>
      </c>
      <c r="GF19" s="4657">
        <v>1278</v>
      </c>
      <c r="GG19" s="4657"/>
      <c r="GH19" s="4657"/>
      <c r="GI19" s="4657"/>
      <c r="GJ19" s="4657"/>
      <c r="GK19" s="4657"/>
      <c r="GL19" s="4657"/>
      <c r="GM19" s="4658"/>
      <c r="GN19" s="2607"/>
      <c r="GO19" s="2754">
        <v>3813</v>
      </c>
      <c r="GP19" s="2755">
        <v>2671</v>
      </c>
      <c r="GQ19" s="2755">
        <v>3193</v>
      </c>
      <c r="GR19" s="2756">
        <v>3577</v>
      </c>
      <c r="GS19" s="2757">
        <v>5257</v>
      </c>
      <c r="GT19" s="2758">
        <v>3468</v>
      </c>
      <c r="GU19" s="2758">
        <v>3329</v>
      </c>
      <c r="GV19" s="2759">
        <v>3833</v>
      </c>
      <c r="GW19" s="2760">
        <v>4686</v>
      </c>
      <c r="GX19" s="2761">
        <v>3775.5</v>
      </c>
      <c r="GY19" s="2762">
        <v>3422</v>
      </c>
      <c r="GZ19" s="2762">
        <v>3812</v>
      </c>
      <c r="HA19" s="2763">
        <v>4859</v>
      </c>
      <c r="HB19" s="2764">
        <v>3753</v>
      </c>
      <c r="HC19" s="2764">
        <v>3572</v>
      </c>
      <c r="HD19" s="2765">
        <v>3826</v>
      </c>
      <c r="HE19" s="2766">
        <v>4985</v>
      </c>
      <c r="HF19" s="2767">
        <v>3819</v>
      </c>
      <c r="HG19" s="2767">
        <v>3775</v>
      </c>
      <c r="HH19" s="2768">
        <v>4335</v>
      </c>
      <c r="HI19" s="2764">
        <v>5251</v>
      </c>
      <c r="HJ19" s="2764">
        <v>4201</v>
      </c>
      <c r="HK19" s="2764">
        <v>4035</v>
      </c>
      <c r="HL19" s="2764">
        <v>4932</v>
      </c>
      <c r="HM19" s="2769">
        <v>5403</v>
      </c>
      <c r="HN19" s="2769">
        <v>4518</v>
      </c>
      <c r="HO19" s="2769">
        <v>4209</v>
      </c>
      <c r="HP19" s="2769">
        <v>5026</v>
      </c>
      <c r="HQ19" s="2770">
        <v>6173</v>
      </c>
      <c r="HR19" s="2770">
        <v>4990</v>
      </c>
      <c r="HS19" s="2770">
        <f t="shared" si="1"/>
        <v>4422</v>
      </c>
      <c r="HT19" s="2770">
        <v>5263</v>
      </c>
      <c r="HU19" s="2771">
        <v>7158</v>
      </c>
      <c r="HV19" s="2771">
        <f t="shared" si="2"/>
        <v>5017</v>
      </c>
      <c r="HW19" s="2771">
        <f t="shared" si="3"/>
        <v>4296</v>
      </c>
      <c r="HX19" s="2770">
        <f t="shared" si="4"/>
        <v>5186</v>
      </c>
      <c r="HY19" s="2689">
        <f t="shared" si="5"/>
        <v>6896</v>
      </c>
      <c r="HZ19" s="2689">
        <f t="shared" si="6"/>
        <v>4310</v>
      </c>
      <c r="IA19" s="2689">
        <f t="shared" si="7"/>
        <v>4681</v>
      </c>
      <c r="IB19" s="2689">
        <f t="shared" si="8"/>
        <v>4418</v>
      </c>
      <c r="IC19" s="2764">
        <f t="shared" si="9"/>
        <v>5724</v>
      </c>
      <c r="ID19" s="2764">
        <f t="shared" si="10"/>
        <v>3942</v>
      </c>
      <c r="IE19" s="2764">
        <f t="shared" si="11"/>
        <v>3662</v>
      </c>
      <c r="IF19" s="2764">
        <f t="shared" si="12"/>
        <v>4965</v>
      </c>
      <c r="IG19" s="2772">
        <f t="shared" si="13"/>
        <v>6766</v>
      </c>
      <c r="IH19" s="2769">
        <f t="shared" si="14"/>
        <v>4317</v>
      </c>
      <c r="II19" s="2769">
        <f t="shared" si="15"/>
        <v>4021</v>
      </c>
      <c r="IJ19" s="2769">
        <f t="shared" si="16"/>
        <v>4797</v>
      </c>
      <c r="IK19" s="2773">
        <f t="shared" si="17"/>
        <v>6553</v>
      </c>
      <c r="IL19" s="2774">
        <f t="shared" si="18"/>
        <v>5282</v>
      </c>
      <c r="IM19" s="2774">
        <f t="shared" si="19"/>
        <v>5272</v>
      </c>
      <c r="IN19" s="2774">
        <f t="shared" si="20"/>
        <v>6756</v>
      </c>
      <c r="IO19" s="2775">
        <f t="shared" si="21"/>
        <v>8769</v>
      </c>
      <c r="IP19" s="2776">
        <f t="shared" si="22"/>
        <v>33</v>
      </c>
      <c r="IQ19" s="2776">
        <f>EX19+EY19+EZ19</f>
        <v>5272</v>
      </c>
      <c r="IR19" s="2777">
        <f t="shared" si="24"/>
        <v>713</v>
      </c>
      <c r="IS19" s="2772">
        <f t="shared" si="25"/>
        <v>482</v>
      </c>
      <c r="IT19" s="2769">
        <f t="shared" si="26"/>
        <v>463</v>
      </c>
      <c r="IU19" s="2769">
        <f t="shared" si="27"/>
        <v>1312</v>
      </c>
      <c r="IV19" s="2769">
        <f t="shared" si="28"/>
        <v>3187</v>
      </c>
      <c r="IW19" s="3976">
        <f t="shared" si="46"/>
        <v>3018</v>
      </c>
      <c r="IX19" s="2764">
        <f t="shared" si="47"/>
        <v>2499</v>
      </c>
      <c r="IY19" s="2764">
        <f t="shared" si="48"/>
        <v>0</v>
      </c>
      <c r="IZ19" s="3977">
        <f t="shared" si="49"/>
        <v>0</v>
      </c>
      <c r="JA19" s="3957"/>
      <c r="JB19" s="3358">
        <v>13254</v>
      </c>
      <c r="JC19" s="3359">
        <v>15887</v>
      </c>
      <c r="JD19" s="3359">
        <v>15695.5</v>
      </c>
      <c r="JE19" s="3359">
        <v>16010</v>
      </c>
      <c r="JF19" s="3359">
        <v>16914</v>
      </c>
      <c r="JG19" s="3359">
        <v>18419</v>
      </c>
      <c r="JH19" s="3360">
        <v>19156</v>
      </c>
      <c r="JI19" s="3361">
        <v>20848</v>
      </c>
      <c r="JJ19" s="3361">
        <f t="shared" si="29"/>
        <v>21657</v>
      </c>
      <c r="JK19" s="3361">
        <f t="shared" si="30"/>
        <v>19550</v>
      </c>
      <c r="JL19" s="3361">
        <f t="shared" si="31"/>
        <v>18293</v>
      </c>
      <c r="JM19" s="3361">
        <f t="shared" si="32"/>
        <v>19901</v>
      </c>
      <c r="JN19" s="3362">
        <f t="shared" si="0"/>
        <v>23863</v>
      </c>
      <c r="JO19" s="3380">
        <f t="shared" si="33"/>
        <v>9797</v>
      </c>
      <c r="JP19" s="3378">
        <f t="shared" si="50"/>
        <v>5444</v>
      </c>
      <c r="JQ19" s="3377">
        <f t="shared" si="51"/>
        <v>10201</v>
      </c>
      <c r="JS19" s="4673">
        <f t="shared" si="52"/>
        <v>348</v>
      </c>
      <c r="JT19" s="3579">
        <f t="shared" si="53"/>
        <v>5517</v>
      </c>
      <c r="JU19" s="2525"/>
      <c r="JV19" s="3365">
        <f t="shared" si="54"/>
        <v>8480.6666666666661</v>
      </c>
      <c r="JW19" s="3366">
        <f t="shared" si="34"/>
        <v>3.1149123841268528E-2</v>
      </c>
      <c r="JX19" s="3366">
        <f t="shared" si="35"/>
        <v>2.8016742963651597E-2</v>
      </c>
      <c r="JY19" s="3366">
        <f t="shared" si="55"/>
        <v>2.896797671033479E-2</v>
      </c>
      <c r="JZ19" s="3366">
        <f t="shared" si="36"/>
        <v>3.4735080058224163E-2</v>
      </c>
      <c r="KA19" s="3366">
        <f t="shared" si="37"/>
        <v>5.13267845448592E-2</v>
      </c>
      <c r="KB19" s="4688">
        <f t="shared" si="38"/>
        <v>1.9373941266067844E-2</v>
      </c>
      <c r="KC19" s="4691">
        <f t="shared" si="56"/>
        <v>2.1323561689078598E-2</v>
      </c>
      <c r="KD19" s="3366"/>
      <c r="KE19" s="3368">
        <f t="shared" si="39"/>
        <v>-6.4296675191815811E-2</v>
      </c>
      <c r="KF19" s="3369">
        <f t="shared" si="40"/>
        <v>-0.56620630861040078</v>
      </c>
      <c r="KG19" s="3369">
        <f t="shared" si="41"/>
        <v>8.7902476357076376E-2</v>
      </c>
      <c r="KH19" s="3369">
        <f t="shared" si="42"/>
        <v>0.19908547309180435</v>
      </c>
      <c r="KI19" s="3369">
        <f t="shared" si="43"/>
        <v>-0.58944809956836952</v>
      </c>
      <c r="KJ19" s="3368">
        <f t="shared" si="44"/>
        <v>-0.77186439257427819</v>
      </c>
      <c r="KK19" s="3369">
        <f t="shared" si="57"/>
        <v>-0.44431968970092883</v>
      </c>
      <c r="KL19" s="4678">
        <f t="shared" si="59"/>
        <v>-0.57251812429283833</v>
      </c>
      <c r="KM19" s="4678">
        <f t="shared" si="58"/>
        <v>0.87380602498163107</v>
      </c>
      <c r="KN19" s="3045"/>
      <c r="KO19" s="3045"/>
      <c r="KP19" s="3045"/>
      <c r="KQ19" s="3045"/>
      <c r="KR19" s="3045"/>
      <c r="KS19" s="3045"/>
      <c r="KT19" s="3045"/>
      <c r="KU19" s="3045"/>
      <c r="KV19" s="3045"/>
      <c r="KW19" s="3045"/>
      <c r="KX19" s="3045"/>
      <c r="KY19" s="3045"/>
      <c r="KZ19" s="3045"/>
      <c r="LA19" s="3045"/>
      <c r="LB19" s="3045"/>
      <c r="LC19" s="3045"/>
      <c r="LD19" s="3045"/>
      <c r="LE19" s="3045"/>
      <c r="LF19" s="3045"/>
      <c r="LG19" s="3045"/>
      <c r="LH19" s="3045"/>
      <c r="LI19" s="3045"/>
      <c r="LJ19" s="3045"/>
      <c r="LK19" s="2525"/>
      <c r="LL19" s="2525"/>
      <c r="LM19" s="2525"/>
      <c r="LN19" s="2525"/>
      <c r="LO19" s="2525"/>
      <c r="LP19" s="2525"/>
      <c r="LQ19" s="2525"/>
      <c r="LR19" s="2525"/>
    </row>
    <row r="20" spans="1:330" ht="21.9" customHeight="1">
      <c r="A20" s="3382"/>
      <c r="B20" s="3045"/>
      <c r="C20" s="3381" t="s">
        <v>10</v>
      </c>
      <c r="D20" s="3330">
        <v>789</v>
      </c>
      <c r="E20" s="3331">
        <v>633</v>
      </c>
      <c r="F20" s="3331">
        <v>790</v>
      </c>
      <c r="G20" s="3331">
        <v>531</v>
      </c>
      <c r="H20" s="3331">
        <v>677</v>
      </c>
      <c r="I20" s="3331">
        <v>720</v>
      </c>
      <c r="J20" s="3331">
        <v>840</v>
      </c>
      <c r="K20" s="3331">
        <v>638</v>
      </c>
      <c r="L20" s="3331">
        <v>799</v>
      </c>
      <c r="M20" s="3331">
        <v>895</v>
      </c>
      <c r="N20" s="3331">
        <v>815</v>
      </c>
      <c r="O20" s="3332">
        <v>556</v>
      </c>
      <c r="P20" s="3333">
        <v>877</v>
      </c>
      <c r="Q20" s="3334">
        <v>1083</v>
      </c>
      <c r="R20" s="3334">
        <v>783</v>
      </c>
      <c r="S20" s="3334">
        <v>893</v>
      </c>
      <c r="T20" s="3334">
        <v>1008</v>
      </c>
      <c r="U20" s="3334">
        <v>891</v>
      </c>
      <c r="V20" s="3334">
        <v>1034</v>
      </c>
      <c r="W20" s="3334">
        <v>977</v>
      </c>
      <c r="X20" s="3334">
        <v>828</v>
      </c>
      <c r="Y20" s="3334">
        <v>1198</v>
      </c>
      <c r="Z20" s="3334">
        <v>1047</v>
      </c>
      <c r="AA20" s="3335">
        <v>774</v>
      </c>
      <c r="AB20" s="3336">
        <v>1114</v>
      </c>
      <c r="AC20" s="3337">
        <v>722</v>
      </c>
      <c r="AD20" s="3337">
        <v>846</v>
      </c>
      <c r="AE20" s="3337">
        <v>796</v>
      </c>
      <c r="AF20" s="3337">
        <v>856</v>
      </c>
      <c r="AG20" s="3337">
        <v>916</v>
      </c>
      <c r="AH20" s="3337">
        <v>901</v>
      </c>
      <c r="AI20" s="3337">
        <v>883</v>
      </c>
      <c r="AJ20" s="3337">
        <v>875</v>
      </c>
      <c r="AK20" s="3337">
        <v>977</v>
      </c>
      <c r="AL20" s="3337">
        <v>967</v>
      </c>
      <c r="AM20" s="3338">
        <v>772</v>
      </c>
      <c r="AN20" s="3339">
        <v>1396</v>
      </c>
      <c r="AO20" s="3340">
        <v>1205</v>
      </c>
      <c r="AP20" s="3340">
        <v>912</v>
      </c>
      <c r="AQ20" s="3340">
        <v>908</v>
      </c>
      <c r="AR20" s="3340">
        <v>967</v>
      </c>
      <c r="AS20" s="3340">
        <v>882</v>
      </c>
      <c r="AT20" s="3340">
        <v>1056</v>
      </c>
      <c r="AU20" s="3340">
        <v>1101</v>
      </c>
      <c r="AV20" s="3340">
        <v>976</v>
      </c>
      <c r="AW20" s="3340">
        <v>1462</v>
      </c>
      <c r="AX20" s="3340">
        <v>1545</v>
      </c>
      <c r="AY20" s="3341">
        <v>986</v>
      </c>
      <c r="AZ20" s="3277">
        <v>1718</v>
      </c>
      <c r="BA20" s="3277">
        <v>934</v>
      </c>
      <c r="BB20" s="3277">
        <v>1091</v>
      </c>
      <c r="BC20" s="3277">
        <v>1046</v>
      </c>
      <c r="BD20" s="3277">
        <v>1461</v>
      </c>
      <c r="BE20" s="3277">
        <v>1069</v>
      </c>
      <c r="BF20" s="3277">
        <v>1551</v>
      </c>
      <c r="BG20" s="3277">
        <v>1104</v>
      </c>
      <c r="BH20" s="3277">
        <v>1190</v>
      </c>
      <c r="BI20" s="3277">
        <v>1136</v>
      </c>
      <c r="BJ20" s="3277">
        <v>1275</v>
      </c>
      <c r="BK20" s="3374">
        <v>1310</v>
      </c>
      <c r="BL20" s="3344">
        <v>1784</v>
      </c>
      <c r="BM20" s="3345">
        <v>1322</v>
      </c>
      <c r="BN20" s="3345">
        <v>1395</v>
      </c>
      <c r="BO20" s="3345">
        <v>1235</v>
      </c>
      <c r="BP20" s="3345">
        <v>1315</v>
      </c>
      <c r="BQ20" s="3345">
        <v>1332</v>
      </c>
      <c r="BR20" s="3345">
        <v>1518</v>
      </c>
      <c r="BS20" s="3345">
        <v>1259</v>
      </c>
      <c r="BT20" s="3346">
        <v>1472</v>
      </c>
      <c r="BU20" s="3346">
        <v>1367</v>
      </c>
      <c r="BV20" s="3346">
        <v>1601</v>
      </c>
      <c r="BW20" s="3347">
        <v>1254</v>
      </c>
      <c r="BX20" s="3348">
        <v>1879</v>
      </c>
      <c r="BY20" s="3273">
        <v>1503</v>
      </c>
      <c r="BZ20" s="3273">
        <v>1512</v>
      </c>
      <c r="CA20" s="3273">
        <v>1260</v>
      </c>
      <c r="CB20" s="3273">
        <v>1274</v>
      </c>
      <c r="CC20" s="3273">
        <v>1581</v>
      </c>
      <c r="CD20" s="3273">
        <v>1834</v>
      </c>
      <c r="CE20" s="3273">
        <v>1236</v>
      </c>
      <c r="CF20" s="3273">
        <v>1466</v>
      </c>
      <c r="CG20" s="3273">
        <v>1369</v>
      </c>
      <c r="CH20" s="3273">
        <v>1577</v>
      </c>
      <c r="CI20" s="3275">
        <v>2187</v>
      </c>
      <c r="CJ20" s="3349">
        <v>3220</v>
      </c>
      <c r="CK20" s="3350">
        <v>2071</v>
      </c>
      <c r="CL20" s="3350">
        <v>1743</v>
      </c>
      <c r="CM20" s="3350">
        <v>1363</v>
      </c>
      <c r="CN20" s="3350">
        <v>1349</v>
      </c>
      <c r="CO20" s="3350">
        <v>1063</v>
      </c>
      <c r="CP20" s="3350">
        <v>1787</v>
      </c>
      <c r="CQ20" s="3350">
        <v>1326</v>
      </c>
      <c r="CR20" s="3350">
        <v>1425</v>
      </c>
      <c r="CS20" s="3350">
        <v>1500</v>
      </c>
      <c r="CT20" s="3350">
        <v>1769</v>
      </c>
      <c r="CU20" s="3351">
        <v>2090</v>
      </c>
      <c r="CV20" s="3349">
        <v>3295</v>
      </c>
      <c r="CW20" s="3350">
        <v>2310</v>
      </c>
      <c r="CX20" s="3272">
        <v>2105</v>
      </c>
      <c r="CY20" s="3272">
        <v>1992</v>
      </c>
      <c r="CZ20" s="3272">
        <v>1818</v>
      </c>
      <c r="DA20" s="3272">
        <v>1519</v>
      </c>
      <c r="DB20" s="3272">
        <v>2089</v>
      </c>
      <c r="DC20" s="3272">
        <v>1660</v>
      </c>
      <c r="DD20" s="3272">
        <v>1946</v>
      </c>
      <c r="DE20" s="3272">
        <v>1568</v>
      </c>
      <c r="DF20" s="3272">
        <v>1851</v>
      </c>
      <c r="DG20" s="3351">
        <v>2065</v>
      </c>
      <c r="DH20" s="3352">
        <v>3139</v>
      </c>
      <c r="DI20" s="3353">
        <v>2105</v>
      </c>
      <c r="DJ20" s="3353">
        <v>1755</v>
      </c>
      <c r="DK20" s="3354">
        <v>1363</v>
      </c>
      <c r="DL20" s="3354">
        <v>1165</v>
      </c>
      <c r="DM20" s="3354">
        <v>1203</v>
      </c>
      <c r="DN20" s="3354">
        <v>1589</v>
      </c>
      <c r="DO20" s="3354">
        <v>910</v>
      </c>
      <c r="DP20" s="2556">
        <v>1071</v>
      </c>
      <c r="DQ20" s="3354">
        <v>1410</v>
      </c>
      <c r="DR20" s="3354">
        <v>1145</v>
      </c>
      <c r="DS20" s="3355">
        <v>1173</v>
      </c>
      <c r="DT20" s="3356">
        <v>2221</v>
      </c>
      <c r="DU20" s="3243">
        <v>1653</v>
      </c>
      <c r="DV20" s="3243">
        <v>1131</v>
      </c>
      <c r="DW20" s="3164">
        <v>1119</v>
      </c>
      <c r="DX20" s="3164">
        <v>1057</v>
      </c>
      <c r="DY20" s="3164">
        <v>1011</v>
      </c>
      <c r="DZ20" s="3164">
        <v>1532</v>
      </c>
      <c r="EA20" s="3164">
        <v>1043</v>
      </c>
      <c r="EB20" s="3164">
        <v>1075</v>
      </c>
      <c r="EC20" s="3164">
        <v>1444</v>
      </c>
      <c r="ED20" s="3164">
        <v>1289</v>
      </c>
      <c r="EE20" s="3163">
        <v>1447</v>
      </c>
      <c r="EF20" s="2532">
        <v>1936</v>
      </c>
      <c r="EG20" s="2531">
        <v>1243</v>
      </c>
      <c r="EH20" s="2531">
        <v>1312</v>
      </c>
      <c r="EI20" s="2531">
        <v>1222</v>
      </c>
      <c r="EJ20" s="2531">
        <v>1260</v>
      </c>
      <c r="EK20" s="2531">
        <v>1287</v>
      </c>
      <c r="EL20" s="2531">
        <v>1555</v>
      </c>
      <c r="EM20" s="2557">
        <v>855</v>
      </c>
      <c r="EN20" s="2557">
        <v>1160</v>
      </c>
      <c r="EO20" s="2558">
        <v>1155</v>
      </c>
      <c r="EP20" s="2558">
        <v>1121</v>
      </c>
      <c r="EQ20" s="2559">
        <v>1093</v>
      </c>
      <c r="ER20" s="1320">
        <v>1355</v>
      </c>
      <c r="ES20" s="3357">
        <v>948</v>
      </c>
      <c r="ET20" s="3357">
        <v>998</v>
      </c>
      <c r="EU20" s="2560">
        <v>1768</v>
      </c>
      <c r="EV20" s="2104">
        <v>1123</v>
      </c>
      <c r="EW20" s="2104">
        <v>1251</v>
      </c>
      <c r="EX20" s="2104">
        <v>1375</v>
      </c>
      <c r="EY20" s="2104">
        <v>1547</v>
      </c>
      <c r="EZ20" s="2104">
        <v>1387</v>
      </c>
      <c r="FA20" s="2275">
        <v>1045</v>
      </c>
      <c r="FB20" s="2275">
        <v>1297</v>
      </c>
      <c r="FC20" s="2275">
        <v>1336</v>
      </c>
      <c r="FD20" s="2615">
        <v>1535</v>
      </c>
      <c r="FE20" s="2616">
        <v>1245</v>
      </c>
      <c r="FF20" s="2616">
        <v>601</v>
      </c>
      <c r="FG20" s="2616">
        <v>8</v>
      </c>
      <c r="FH20" s="2616">
        <v>13</v>
      </c>
      <c r="FI20" s="2616">
        <v>16</v>
      </c>
      <c r="FJ20" s="2616">
        <v>20</v>
      </c>
      <c r="FK20" s="2616">
        <v>18</v>
      </c>
      <c r="FL20" s="2616">
        <v>66</v>
      </c>
      <c r="FM20" s="2616">
        <v>114</v>
      </c>
      <c r="FN20" s="2616">
        <v>147</v>
      </c>
      <c r="FO20" s="2617">
        <v>285</v>
      </c>
      <c r="FP20" s="2615">
        <v>366</v>
      </c>
      <c r="FQ20" s="2616">
        <v>257</v>
      </c>
      <c r="FR20" s="2616">
        <v>281</v>
      </c>
      <c r="FS20" s="2616">
        <v>217</v>
      </c>
      <c r="FT20" s="2616">
        <v>229</v>
      </c>
      <c r="FU20" s="2616">
        <v>253</v>
      </c>
      <c r="FV20" s="2616">
        <v>221</v>
      </c>
      <c r="FW20" s="2616">
        <v>258</v>
      </c>
      <c r="FX20" s="2616">
        <v>294</v>
      </c>
      <c r="FY20" s="2616">
        <v>367</v>
      </c>
      <c r="FZ20" s="2616">
        <v>584</v>
      </c>
      <c r="GA20" s="2617">
        <v>443</v>
      </c>
      <c r="GB20" s="4659">
        <v>537</v>
      </c>
      <c r="GC20" s="4660">
        <v>504</v>
      </c>
      <c r="GD20" s="4660">
        <v>579</v>
      </c>
      <c r="GE20" s="4660">
        <v>793</v>
      </c>
      <c r="GF20" s="4660">
        <v>775</v>
      </c>
      <c r="GG20" s="4660"/>
      <c r="GH20" s="4660"/>
      <c r="GI20" s="4660"/>
      <c r="GJ20" s="4660"/>
      <c r="GK20" s="4660"/>
      <c r="GL20" s="4660"/>
      <c r="GM20" s="4661"/>
      <c r="GN20" s="2607"/>
      <c r="GO20" s="2754">
        <v>2212</v>
      </c>
      <c r="GP20" s="2755">
        <v>1928</v>
      </c>
      <c r="GQ20" s="2755">
        <v>2277</v>
      </c>
      <c r="GR20" s="2756">
        <v>2266</v>
      </c>
      <c r="GS20" s="2757">
        <v>2743</v>
      </c>
      <c r="GT20" s="2758">
        <v>2792</v>
      </c>
      <c r="GU20" s="2758">
        <v>2839</v>
      </c>
      <c r="GV20" s="2759">
        <v>3019</v>
      </c>
      <c r="GW20" s="2760">
        <v>2682</v>
      </c>
      <c r="GX20" s="2761">
        <v>2568</v>
      </c>
      <c r="GY20" s="2762">
        <v>2659</v>
      </c>
      <c r="GZ20" s="2762">
        <v>2716</v>
      </c>
      <c r="HA20" s="2763">
        <v>3513</v>
      </c>
      <c r="HB20" s="2764">
        <v>2757</v>
      </c>
      <c r="HC20" s="2764">
        <v>3133</v>
      </c>
      <c r="HD20" s="2765">
        <v>3993</v>
      </c>
      <c r="HE20" s="2766">
        <v>3743</v>
      </c>
      <c r="HF20" s="2767">
        <v>3576</v>
      </c>
      <c r="HG20" s="2767">
        <v>3845</v>
      </c>
      <c r="HH20" s="2768">
        <v>3721</v>
      </c>
      <c r="HI20" s="2764">
        <v>4501</v>
      </c>
      <c r="HJ20" s="2764">
        <v>3882</v>
      </c>
      <c r="HK20" s="2764">
        <v>4249</v>
      </c>
      <c r="HL20" s="2764">
        <v>4222</v>
      </c>
      <c r="HM20" s="2769">
        <v>4894</v>
      </c>
      <c r="HN20" s="2769">
        <v>4115</v>
      </c>
      <c r="HO20" s="2769">
        <v>4536</v>
      </c>
      <c r="HP20" s="2769">
        <v>5133</v>
      </c>
      <c r="HQ20" s="2770">
        <v>7034</v>
      </c>
      <c r="HR20" s="2770">
        <v>3775</v>
      </c>
      <c r="HS20" s="2770">
        <f t="shared" si="1"/>
        <v>4538</v>
      </c>
      <c r="HT20" s="2770">
        <v>5359</v>
      </c>
      <c r="HU20" s="2771">
        <v>7710</v>
      </c>
      <c r="HV20" s="2771">
        <f t="shared" si="2"/>
        <v>5329</v>
      </c>
      <c r="HW20" s="2771">
        <f t="shared" si="3"/>
        <v>5695</v>
      </c>
      <c r="HX20" s="2770">
        <f t="shared" si="4"/>
        <v>5484</v>
      </c>
      <c r="HY20" s="2689">
        <f t="shared" si="5"/>
        <v>6999</v>
      </c>
      <c r="HZ20" s="2689">
        <f t="shared" si="6"/>
        <v>3731</v>
      </c>
      <c r="IA20" s="2689">
        <f t="shared" si="7"/>
        <v>3672</v>
      </c>
      <c r="IB20" s="2689">
        <f t="shared" si="8"/>
        <v>3728</v>
      </c>
      <c r="IC20" s="2764">
        <f t="shared" si="9"/>
        <v>5005</v>
      </c>
      <c r="ID20" s="2764">
        <f t="shared" si="10"/>
        <v>3187</v>
      </c>
      <c r="IE20" s="2764">
        <f t="shared" si="11"/>
        <v>3650</v>
      </c>
      <c r="IF20" s="2764">
        <f t="shared" si="12"/>
        <v>4180</v>
      </c>
      <c r="IG20" s="2772">
        <f t="shared" si="13"/>
        <v>4491</v>
      </c>
      <c r="IH20" s="2769">
        <f t="shared" si="14"/>
        <v>3769</v>
      </c>
      <c r="II20" s="2769">
        <f t="shared" si="15"/>
        <v>3570</v>
      </c>
      <c r="IJ20" s="2769">
        <f t="shared" si="16"/>
        <v>3369</v>
      </c>
      <c r="IK20" s="2773">
        <f t="shared" si="17"/>
        <v>3301</v>
      </c>
      <c r="IL20" s="2774">
        <f t="shared" si="18"/>
        <v>4142</v>
      </c>
      <c r="IM20" s="2774">
        <f t="shared" si="19"/>
        <v>4309</v>
      </c>
      <c r="IN20" s="2774">
        <f t="shared" si="20"/>
        <v>3678</v>
      </c>
      <c r="IO20" s="2775">
        <f t="shared" si="21"/>
        <v>3381</v>
      </c>
      <c r="IP20" s="2776">
        <f t="shared" si="22"/>
        <v>37</v>
      </c>
      <c r="IQ20" s="2776">
        <f>EX20+EY20+EZ20</f>
        <v>4309</v>
      </c>
      <c r="IR20" s="2777">
        <f t="shared" si="24"/>
        <v>546</v>
      </c>
      <c r="IS20" s="2772">
        <f t="shared" si="25"/>
        <v>904</v>
      </c>
      <c r="IT20" s="2769">
        <f t="shared" si="26"/>
        <v>699</v>
      </c>
      <c r="IU20" s="2769">
        <f t="shared" si="27"/>
        <v>773</v>
      </c>
      <c r="IV20" s="2769">
        <f t="shared" si="28"/>
        <v>1394</v>
      </c>
      <c r="IW20" s="3961">
        <f t="shared" si="46"/>
        <v>1620</v>
      </c>
      <c r="IX20" s="3953">
        <f t="shared" si="47"/>
        <v>1568</v>
      </c>
      <c r="IY20" s="3953">
        <f t="shared" si="48"/>
        <v>0</v>
      </c>
      <c r="IZ20" s="3962">
        <f t="shared" si="49"/>
        <v>0</v>
      </c>
      <c r="JA20" s="3957"/>
      <c r="JB20" s="3358">
        <v>8683</v>
      </c>
      <c r="JC20" s="3359">
        <v>11393</v>
      </c>
      <c r="JD20" s="3359">
        <v>10625</v>
      </c>
      <c r="JE20" s="3359">
        <v>13396</v>
      </c>
      <c r="JF20" s="3359">
        <v>14885</v>
      </c>
      <c r="JG20" s="3359">
        <v>16854</v>
      </c>
      <c r="JH20" s="3360">
        <v>18678</v>
      </c>
      <c r="JI20" s="3361">
        <v>20706</v>
      </c>
      <c r="JJ20" s="3361">
        <f t="shared" si="29"/>
        <v>24218</v>
      </c>
      <c r="JK20" s="3361">
        <f t="shared" si="30"/>
        <v>18028</v>
      </c>
      <c r="JL20" s="3361">
        <f t="shared" si="31"/>
        <v>16022</v>
      </c>
      <c r="JM20" s="3361">
        <f t="shared" si="32"/>
        <v>15199</v>
      </c>
      <c r="JN20" s="3362">
        <f t="shared" si="0"/>
        <v>15430</v>
      </c>
      <c r="JO20" s="3380">
        <f t="shared" si="33"/>
        <v>4068</v>
      </c>
      <c r="JP20" s="3378">
        <f t="shared" si="50"/>
        <v>3770</v>
      </c>
      <c r="JQ20" s="3377">
        <f t="shared" si="51"/>
        <v>5608</v>
      </c>
      <c r="JS20" s="4673">
        <f t="shared" si="52"/>
        <v>623</v>
      </c>
      <c r="JT20" s="3579">
        <f t="shared" si="53"/>
        <v>3188</v>
      </c>
      <c r="JU20" s="2525"/>
      <c r="JV20" s="3365">
        <f t="shared" si="54"/>
        <v>4482</v>
      </c>
      <c r="JW20" s="3366">
        <f t="shared" si="34"/>
        <v>2.8724112767794834E-2</v>
      </c>
      <c r="JX20" s="3366">
        <f t="shared" si="35"/>
        <v>2.4538580646347011E-2</v>
      </c>
      <c r="JY20" s="3366">
        <f t="shared" si="55"/>
        <v>2.212372634643377E-2</v>
      </c>
      <c r="JZ20" s="3366">
        <f t="shared" si="36"/>
        <v>2.2459970887918485E-2</v>
      </c>
      <c r="KA20" s="3366">
        <f t="shared" si="37"/>
        <v>2.1312377210216109E-2</v>
      </c>
      <c r="KB20" s="4688">
        <f t="shared" si="38"/>
        <v>1.3416561089837577E-2</v>
      </c>
      <c r="KC20" s="4691">
        <f t="shared" si="56"/>
        <v>1.1722628561156042E-2</v>
      </c>
      <c r="KD20" s="3366"/>
      <c r="KE20" s="3368">
        <f t="shared" si="39"/>
        <v>-0.1112713556689594</v>
      </c>
      <c r="KF20" s="3369">
        <f t="shared" si="40"/>
        <v>-0.75138673175061022</v>
      </c>
      <c r="KG20" s="3369">
        <f t="shared" si="41"/>
        <v>-5.1366870552989607E-2</v>
      </c>
      <c r="KH20" s="3369">
        <f t="shared" si="42"/>
        <v>1.5198368313704913E-2</v>
      </c>
      <c r="KI20" s="3369">
        <f t="shared" si="43"/>
        <v>-0.73635774465327286</v>
      </c>
      <c r="KJ20" s="3368">
        <f t="shared" si="44"/>
        <v>-0.75567077122488657</v>
      </c>
      <c r="KK20" s="3369">
        <f t="shared" si="57"/>
        <v>-7.3254670599803395E-2</v>
      </c>
      <c r="KL20" s="4678">
        <f t="shared" si="59"/>
        <v>-0.63655217109526896</v>
      </c>
      <c r="KM20" s="4678">
        <f t="shared" si="58"/>
        <v>0.48753315649867379</v>
      </c>
      <c r="KN20" s="3045"/>
      <c r="KO20" s="3045"/>
      <c r="KP20" s="3045"/>
      <c r="KQ20" s="3045"/>
      <c r="KR20" s="3045"/>
      <c r="KS20" s="3045"/>
      <c r="KT20" s="3045"/>
      <c r="KU20" s="3045"/>
      <c r="KV20" s="3045"/>
      <c r="KW20" s="3045"/>
      <c r="KX20" s="3045"/>
      <c r="KY20" s="3045"/>
      <c r="KZ20" s="3045"/>
      <c r="LA20" s="3045"/>
      <c r="LB20" s="3045"/>
      <c r="LC20" s="3045"/>
      <c r="LD20" s="3045"/>
      <c r="LE20" s="3045"/>
      <c r="LF20" s="3045"/>
      <c r="LG20" s="3045"/>
      <c r="LH20" s="3045"/>
      <c r="LI20" s="3045"/>
      <c r="LJ20" s="3045"/>
      <c r="LK20" s="2525"/>
      <c r="LL20" s="2525"/>
      <c r="LM20" s="2525"/>
      <c r="LN20" s="2525"/>
      <c r="LO20" s="2525"/>
      <c r="LP20" s="2525"/>
      <c r="LQ20" s="2525"/>
      <c r="LR20" s="2525"/>
    </row>
    <row r="21" spans="1:330" ht="21.9" customHeight="1">
      <c r="A21" s="3372"/>
      <c r="B21" s="3045"/>
      <c r="C21" s="3373" t="s">
        <v>12</v>
      </c>
      <c r="D21" s="3330">
        <v>802</v>
      </c>
      <c r="E21" s="3331">
        <v>792</v>
      </c>
      <c r="F21" s="3331">
        <v>587</v>
      </c>
      <c r="G21" s="3331">
        <v>506</v>
      </c>
      <c r="H21" s="3331">
        <v>581</v>
      </c>
      <c r="I21" s="3331">
        <v>629</v>
      </c>
      <c r="J21" s="3331">
        <v>849</v>
      </c>
      <c r="K21" s="3331">
        <v>779</v>
      </c>
      <c r="L21" s="3331">
        <v>784</v>
      </c>
      <c r="M21" s="3331">
        <v>779</v>
      </c>
      <c r="N21" s="3331">
        <v>668</v>
      </c>
      <c r="O21" s="3332">
        <v>701</v>
      </c>
      <c r="P21" s="3333">
        <v>1001</v>
      </c>
      <c r="Q21" s="3334">
        <v>1416</v>
      </c>
      <c r="R21" s="3334">
        <v>639</v>
      </c>
      <c r="S21" s="3334">
        <v>628</v>
      </c>
      <c r="T21" s="3334">
        <v>690</v>
      </c>
      <c r="U21" s="3334">
        <v>720</v>
      </c>
      <c r="V21" s="3334">
        <v>888</v>
      </c>
      <c r="W21" s="3334">
        <v>967</v>
      </c>
      <c r="X21" s="3334">
        <v>909</v>
      </c>
      <c r="Y21" s="3334">
        <v>1253</v>
      </c>
      <c r="Z21" s="3334">
        <v>761</v>
      </c>
      <c r="AA21" s="3335">
        <v>760</v>
      </c>
      <c r="AB21" s="3336">
        <v>1134</v>
      </c>
      <c r="AC21" s="3337">
        <v>933</v>
      </c>
      <c r="AD21" s="3337">
        <v>642</v>
      </c>
      <c r="AE21" s="3337">
        <v>704</v>
      </c>
      <c r="AF21" s="3337">
        <v>710.5</v>
      </c>
      <c r="AG21" s="3337">
        <v>717</v>
      </c>
      <c r="AH21" s="3337">
        <v>970</v>
      </c>
      <c r="AI21" s="3337">
        <v>720</v>
      </c>
      <c r="AJ21" s="3337">
        <v>889</v>
      </c>
      <c r="AK21" s="3337">
        <v>728</v>
      </c>
      <c r="AL21" s="3337">
        <v>715</v>
      </c>
      <c r="AM21" s="3338">
        <v>609</v>
      </c>
      <c r="AN21" s="3339">
        <v>929</v>
      </c>
      <c r="AO21" s="3340">
        <v>1114</v>
      </c>
      <c r="AP21" s="3340">
        <v>507</v>
      </c>
      <c r="AQ21" s="3340">
        <v>594</v>
      </c>
      <c r="AR21" s="3340">
        <v>755</v>
      </c>
      <c r="AS21" s="3340">
        <v>691</v>
      </c>
      <c r="AT21" s="3340">
        <v>751</v>
      </c>
      <c r="AU21" s="3340">
        <v>618</v>
      </c>
      <c r="AV21" s="3340">
        <v>842</v>
      </c>
      <c r="AW21" s="3340">
        <v>882</v>
      </c>
      <c r="AX21" s="3340">
        <v>665</v>
      </c>
      <c r="AY21" s="3341">
        <v>729</v>
      </c>
      <c r="AZ21" s="3277">
        <v>1099</v>
      </c>
      <c r="BA21" s="3277">
        <v>1133</v>
      </c>
      <c r="BB21" s="3277">
        <v>791</v>
      </c>
      <c r="BC21" s="3277">
        <v>698</v>
      </c>
      <c r="BD21" s="3277">
        <v>822</v>
      </c>
      <c r="BE21" s="3277">
        <v>1050</v>
      </c>
      <c r="BF21" s="3277">
        <v>1309</v>
      </c>
      <c r="BG21" s="3277">
        <v>1070</v>
      </c>
      <c r="BH21" s="3277">
        <v>936</v>
      </c>
      <c r="BI21" s="3277">
        <v>966</v>
      </c>
      <c r="BJ21" s="3277">
        <v>790</v>
      </c>
      <c r="BK21" s="3374">
        <v>1233</v>
      </c>
      <c r="BL21" s="3344">
        <v>1072</v>
      </c>
      <c r="BM21" s="3345">
        <v>1312</v>
      </c>
      <c r="BN21" s="3345">
        <v>911</v>
      </c>
      <c r="BO21" s="3345">
        <v>896</v>
      </c>
      <c r="BP21" s="3345">
        <v>1004</v>
      </c>
      <c r="BQ21" s="3345">
        <v>1107</v>
      </c>
      <c r="BR21" s="3345">
        <v>1277</v>
      </c>
      <c r="BS21" s="3345">
        <v>1067</v>
      </c>
      <c r="BT21" s="3346">
        <v>1066</v>
      </c>
      <c r="BU21" s="3346">
        <v>2214</v>
      </c>
      <c r="BV21" s="3346">
        <v>992</v>
      </c>
      <c r="BW21" s="3347">
        <v>895</v>
      </c>
      <c r="BX21" s="3348">
        <v>1139</v>
      </c>
      <c r="BY21" s="3273">
        <v>1193</v>
      </c>
      <c r="BZ21" s="3273">
        <v>722</v>
      </c>
      <c r="CA21" s="3273">
        <v>797</v>
      </c>
      <c r="CB21" s="3273">
        <v>886</v>
      </c>
      <c r="CC21" s="3273">
        <v>854</v>
      </c>
      <c r="CD21" s="3273">
        <v>1141</v>
      </c>
      <c r="CE21" s="3273">
        <v>1070</v>
      </c>
      <c r="CF21" s="3273">
        <v>1090</v>
      </c>
      <c r="CG21" s="3273">
        <v>1003</v>
      </c>
      <c r="CH21" s="3273">
        <v>834</v>
      </c>
      <c r="CI21" s="3275">
        <v>772</v>
      </c>
      <c r="CJ21" s="3349">
        <v>967</v>
      </c>
      <c r="CK21" s="3350">
        <v>1087</v>
      </c>
      <c r="CL21" s="3350">
        <v>951</v>
      </c>
      <c r="CM21" s="3350">
        <v>958</v>
      </c>
      <c r="CN21" s="3350">
        <v>1130</v>
      </c>
      <c r="CO21" s="3350">
        <v>879</v>
      </c>
      <c r="CP21" s="3350">
        <v>1213</v>
      </c>
      <c r="CQ21" s="3350">
        <v>1124</v>
      </c>
      <c r="CR21" s="3350">
        <v>1100</v>
      </c>
      <c r="CS21" s="3350">
        <v>1128</v>
      </c>
      <c r="CT21" s="3350">
        <v>1166</v>
      </c>
      <c r="CU21" s="3351">
        <v>1185</v>
      </c>
      <c r="CV21" s="3349">
        <v>1056</v>
      </c>
      <c r="CW21" s="3350">
        <v>1492</v>
      </c>
      <c r="CX21" s="3272">
        <v>967</v>
      </c>
      <c r="CY21" s="3272">
        <v>831</v>
      </c>
      <c r="CZ21" s="3272">
        <v>973</v>
      </c>
      <c r="DA21" s="3272">
        <v>804</v>
      </c>
      <c r="DB21" s="3272">
        <v>1001</v>
      </c>
      <c r="DC21" s="3272">
        <v>697</v>
      </c>
      <c r="DD21" s="3272">
        <v>700</v>
      </c>
      <c r="DE21" s="3272">
        <v>837</v>
      </c>
      <c r="DF21" s="3272">
        <v>824</v>
      </c>
      <c r="DG21" s="3351">
        <v>804</v>
      </c>
      <c r="DH21" s="3352">
        <v>874</v>
      </c>
      <c r="DI21" s="3353">
        <v>931</v>
      </c>
      <c r="DJ21" s="3353">
        <v>634</v>
      </c>
      <c r="DK21" s="3354">
        <v>630</v>
      </c>
      <c r="DL21" s="3354">
        <v>593</v>
      </c>
      <c r="DM21" s="3354">
        <v>783</v>
      </c>
      <c r="DN21" s="3354">
        <v>933</v>
      </c>
      <c r="DO21" s="3354">
        <v>646</v>
      </c>
      <c r="DP21" s="2556">
        <v>846</v>
      </c>
      <c r="DQ21" s="3354">
        <v>1359</v>
      </c>
      <c r="DR21" s="3354">
        <v>938</v>
      </c>
      <c r="DS21" s="3355">
        <v>883</v>
      </c>
      <c r="DT21" s="3356">
        <v>1275</v>
      </c>
      <c r="DU21" s="3243">
        <v>1308</v>
      </c>
      <c r="DV21" s="3243">
        <v>867</v>
      </c>
      <c r="DW21" s="3164">
        <v>810</v>
      </c>
      <c r="DX21" s="3164">
        <v>726</v>
      </c>
      <c r="DY21" s="3164">
        <v>709</v>
      </c>
      <c r="DZ21" s="3164">
        <v>1106</v>
      </c>
      <c r="EA21" s="3164">
        <v>799</v>
      </c>
      <c r="EB21" s="3164">
        <v>770</v>
      </c>
      <c r="EC21" s="3164">
        <v>928</v>
      </c>
      <c r="ED21" s="3164">
        <v>755</v>
      </c>
      <c r="EE21" s="3163">
        <v>901</v>
      </c>
      <c r="EF21" s="2532">
        <v>1141</v>
      </c>
      <c r="EG21" s="2531">
        <v>1396</v>
      </c>
      <c r="EH21" s="2531">
        <v>984</v>
      </c>
      <c r="EI21" s="2531">
        <v>888</v>
      </c>
      <c r="EJ21" s="2531">
        <v>825</v>
      </c>
      <c r="EK21" s="2531">
        <v>879</v>
      </c>
      <c r="EL21" s="2531">
        <v>1124</v>
      </c>
      <c r="EM21" s="2557">
        <v>824</v>
      </c>
      <c r="EN21" s="2557">
        <v>945</v>
      </c>
      <c r="EO21" s="2558">
        <v>1036</v>
      </c>
      <c r="EP21" s="2558">
        <v>853</v>
      </c>
      <c r="EQ21" s="2559">
        <v>802</v>
      </c>
      <c r="ER21" s="1320">
        <v>1003</v>
      </c>
      <c r="ES21" s="3357">
        <v>1204</v>
      </c>
      <c r="ET21" s="3357">
        <v>853</v>
      </c>
      <c r="EU21" s="2560">
        <v>1299</v>
      </c>
      <c r="EV21" s="2104">
        <v>1321</v>
      </c>
      <c r="EW21" s="2104">
        <v>1452</v>
      </c>
      <c r="EX21" s="2104">
        <v>1791</v>
      </c>
      <c r="EY21" s="2104">
        <v>1495</v>
      </c>
      <c r="EZ21" s="2104">
        <v>1858</v>
      </c>
      <c r="FA21" s="2275">
        <v>1132</v>
      </c>
      <c r="FB21" s="2275">
        <v>1226</v>
      </c>
      <c r="FC21" s="2275">
        <v>1409</v>
      </c>
      <c r="FD21" s="2608">
        <v>1782</v>
      </c>
      <c r="FE21" s="2609">
        <v>1775</v>
      </c>
      <c r="FF21" s="2609">
        <v>541</v>
      </c>
      <c r="FG21" s="2609">
        <v>13</v>
      </c>
      <c r="FH21" s="2609">
        <v>9</v>
      </c>
      <c r="FI21" s="2609">
        <v>19</v>
      </c>
      <c r="FJ21" s="2609">
        <v>29</v>
      </c>
      <c r="FK21" s="2609">
        <v>30</v>
      </c>
      <c r="FL21" s="2609">
        <v>64</v>
      </c>
      <c r="FM21" s="2609">
        <v>142</v>
      </c>
      <c r="FN21" s="2609">
        <v>127</v>
      </c>
      <c r="FO21" s="2610">
        <v>326</v>
      </c>
      <c r="FP21" s="2608">
        <v>247</v>
      </c>
      <c r="FQ21" s="2609">
        <v>165</v>
      </c>
      <c r="FR21" s="2609">
        <v>208</v>
      </c>
      <c r="FS21" s="2609">
        <v>113</v>
      </c>
      <c r="FT21" s="2609">
        <v>145</v>
      </c>
      <c r="FU21" s="2609">
        <v>217</v>
      </c>
      <c r="FV21" s="2609">
        <v>219</v>
      </c>
      <c r="FW21" s="2609">
        <v>333</v>
      </c>
      <c r="FX21" s="2609">
        <v>424</v>
      </c>
      <c r="FY21" s="2609">
        <v>388</v>
      </c>
      <c r="FZ21" s="2609">
        <v>385</v>
      </c>
      <c r="GA21" s="2610">
        <v>490</v>
      </c>
      <c r="GB21" s="4656">
        <v>469</v>
      </c>
      <c r="GC21" s="4657">
        <v>525</v>
      </c>
      <c r="GD21" s="4657">
        <v>499</v>
      </c>
      <c r="GE21" s="4657">
        <v>632</v>
      </c>
      <c r="GF21" s="4657">
        <v>641</v>
      </c>
      <c r="GG21" s="4657"/>
      <c r="GH21" s="4657"/>
      <c r="GI21" s="4657"/>
      <c r="GJ21" s="4657"/>
      <c r="GK21" s="4657"/>
      <c r="GL21" s="4657"/>
      <c r="GM21" s="4658"/>
      <c r="GN21" s="2607"/>
      <c r="GO21" s="2754">
        <v>2181</v>
      </c>
      <c r="GP21" s="2755">
        <v>1716</v>
      </c>
      <c r="GQ21" s="2755">
        <v>2412</v>
      </c>
      <c r="GR21" s="2756">
        <v>2148</v>
      </c>
      <c r="GS21" s="2757">
        <v>3056</v>
      </c>
      <c r="GT21" s="2758">
        <v>2038</v>
      </c>
      <c r="GU21" s="2758">
        <v>2764</v>
      </c>
      <c r="GV21" s="2759">
        <v>2774</v>
      </c>
      <c r="GW21" s="2760">
        <v>2709</v>
      </c>
      <c r="GX21" s="2761">
        <v>2131.5</v>
      </c>
      <c r="GY21" s="2762">
        <v>2579</v>
      </c>
      <c r="GZ21" s="2762">
        <v>2052</v>
      </c>
      <c r="HA21" s="2763">
        <v>2550</v>
      </c>
      <c r="HB21" s="2764">
        <v>2040</v>
      </c>
      <c r="HC21" s="2764">
        <v>2211</v>
      </c>
      <c r="HD21" s="2765">
        <v>2276</v>
      </c>
      <c r="HE21" s="2766">
        <v>3023</v>
      </c>
      <c r="HF21" s="2767">
        <v>2570</v>
      </c>
      <c r="HG21" s="2767">
        <v>3315</v>
      </c>
      <c r="HH21" s="2768">
        <v>2989</v>
      </c>
      <c r="HI21" s="2764">
        <v>3295</v>
      </c>
      <c r="HJ21" s="2764">
        <v>3007</v>
      </c>
      <c r="HK21" s="2764">
        <v>3410</v>
      </c>
      <c r="HL21" s="2764">
        <v>4101</v>
      </c>
      <c r="HM21" s="2769">
        <v>3054</v>
      </c>
      <c r="HN21" s="2769">
        <v>2537</v>
      </c>
      <c r="HO21" s="2769">
        <v>3301</v>
      </c>
      <c r="HP21" s="2769">
        <v>2609</v>
      </c>
      <c r="HQ21" s="2770">
        <v>3005</v>
      </c>
      <c r="HR21" s="2770">
        <v>2967</v>
      </c>
      <c r="HS21" s="2770">
        <f t="shared" si="1"/>
        <v>3437</v>
      </c>
      <c r="HT21" s="2770">
        <v>3479</v>
      </c>
      <c r="HU21" s="2771">
        <v>3515</v>
      </c>
      <c r="HV21" s="2771">
        <f t="shared" si="2"/>
        <v>2608</v>
      </c>
      <c r="HW21" s="2771">
        <f t="shared" si="3"/>
        <v>2398</v>
      </c>
      <c r="HX21" s="2770">
        <f t="shared" si="4"/>
        <v>2465</v>
      </c>
      <c r="HY21" s="2689">
        <f t="shared" si="5"/>
        <v>2439</v>
      </c>
      <c r="HZ21" s="2689">
        <f t="shared" si="6"/>
        <v>2006</v>
      </c>
      <c r="IA21" s="2689">
        <f t="shared" si="7"/>
        <v>2462</v>
      </c>
      <c r="IB21" s="2689">
        <f t="shared" si="8"/>
        <v>3180</v>
      </c>
      <c r="IC21" s="2764">
        <f t="shared" si="9"/>
        <v>3450</v>
      </c>
      <c r="ID21" s="2764">
        <f t="shared" si="10"/>
        <v>2245</v>
      </c>
      <c r="IE21" s="2764">
        <f t="shared" si="11"/>
        <v>2675</v>
      </c>
      <c r="IF21" s="2764">
        <f t="shared" si="12"/>
        <v>2584</v>
      </c>
      <c r="IG21" s="2772">
        <f t="shared" si="13"/>
        <v>3521</v>
      </c>
      <c r="IH21" s="2769">
        <f t="shared" si="14"/>
        <v>2592</v>
      </c>
      <c r="II21" s="2769">
        <f t="shared" si="15"/>
        <v>2893</v>
      </c>
      <c r="IJ21" s="2769">
        <f t="shared" si="16"/>
        <v>2691</v>
      </c>
      <c r="IK21" s="2773">
        <f t="shared" si="17"/>
        <v>3060</v>
      </c>
      <c r="IL21" s="2774">
        <f t="shared" si="18"/>
        <v>4072</v>
      </c>
      <c r="IM21" s="2774">
        <f t="shared" si="19"/>
        <v>5144</v>
      </c>
      <c r="IN21" s="2774">
        <f t="shared" si="20"/>
        <v>3767</v>
      </c>
      <c r="IO21" s="2775">
        <f t="shared" si="21"/>
        <v>4098</v>
      </c>
      <c r="IP21" s="2776">
        <f t="shared" si="22"/>
        <v>41</v>
      </c>
      <c r="IQ21" s="2776">
        <f>FJ21+FK21+FL21</f>
        <v>123</v>
      </c>
      <c r="IR21" s="2777">
        <f t="shared" si="24"/>
        <v>595</v>
      </c>
      <c r="IS21" s="2772">
        <f t="shared" si="25"/>
        <v>620</v>
      </c>
      <c r="IT21" s="2769">
        <f t="shared" si="26"/>
        <v>475</v>
      </c>
      <c r="IU21" s="2769">
        <f t="shared" si="27"/>
        <v>976</v>
      </c>
      <c r="IV21" s="2769">
        <f t="shared" si="28"/>
        <v>1263</v>
      </c>
      <c r="IW21" s="3976">
        <f t="shared" si="46"/>
        <v>1493</v>
      </c>
      <c r="IX21" s="2764">
        <f t="shared" si="47"/>
        <v>1273</v>
      </c>
      <c r="IY21" s="2764">
        <f t="shared" si="48"/>
        <v>0</v>
      </c>
      <c r="IZ21" s="3977">
        <f t="shared" si="49"/>
        <v>0</v>
      </c>
      <c r="JA21" s="3957"/>
      <c r="JB21" s="3358">
        <v>8457</v>
      </c>
      <c r="JC21" s="3359">
        <v>10632</v>
      </c>
      <c r="JD21" s="3359">
        <v>9471.5</v>
      </c>
      <c r="JE21" s="3359">
        <v>9077</v>
      </c>
      <c r="JF21" s="3359">
        <v>11897</v>
      </c>
      <c r="JG21" s="3359">
        <v>13813</v>
      </c>
      <c r="JH21" s="3360">
        <v>11501</v>
      </c>
      <c r="JI21" s="3361">
        <v>12888</v>
      </c>
      <c r="JJ21" s="3361">
        <f t="shared" si="29"/>
        <v>10986</v>
      </c>
      <c r="JK21" s="3361">
        <f t="shared" si="30"/>
        <v>10050</v>
      </c>
      <c r="JL21" s="3361">
        <f t="shared" si="31"/>
        <v>10954</v>
      </c>
      <c r="JM21" s="3361">
        <f t="shared" si="32"/>
        <v>11697</v>
      </c>
      <c r="JN21" s="3362">
        <f t="shared" si="0"/>
        <v>16043</v>
      </c>
      <c r="JO21" s="3380">
        <f t="shared" si="33"/>
        <v>4857</v>
      </c>
      <c r="JP21" s="3378">
        <f t="shared" si="50"/>
        <v>3334</v>
      </c>
      <c r="JQ21" s="3377">
        <f t="shared" si="51"/>
        <v>5222</v>
      </c>
      <c r="JS21" s="4673">
        <f t="shared" si="52"/>
        <v>412</v>
      </c>
      <c r="JT21" s="3579">
        <f t="shared" si="53"/>
        <v>2766</v>
      </c>
      <c r="JU21" s="2525"/>
      <c r="JV21" s="3365">
        <f t="shared" si="54"/>
        <v>4471</v>
      </c>
      <c r="JW21" s="3366">
        <f t="shared" si="34"/>
        <v>1.6012720951649548E-2</v>
      </c>
      <c r="JX21" s="3366">
        <f t="shared" si="35"/>
        <v>1.6776657870433476E-2</v>
      </c>
      <c r="JY21" s="3366">
        <f t="shared" si="55"/>
        <v>1.7026200873362447E-2</v>
      </c>
      <c r="JZ21" s="3366">
        <f t="shared" si="36"/>
        <v>2.3352256186317321E-2</v>
      </c>
      <c r="KA21" s="3366">
        <f t="shared" si="37"/>
        <v>2.5445972495088408E-2</v>
      </c>
      <c r="KB21" s="4688">
        <f t="shared" si="38"/>
        <v>1.1864937579182621E-2</v>
      </c>
      <c r="KC21" s="4691">
        <f t="shared" si="56"/>
        <v>1.0915757194428825E-2</v>
      </c>
      <c r="KD21" s="3366"/>
      <c r="KE21" s="3368">
        <f t="shared" si="39"/>
        <v>8.9950248756218931E-2</v>
      </c>
      <c r="KF21" s="3369">
        <f t="shared" si="40"/>
        <v>-0.55512437810945281</v>
      </c>
      <c r="KG21" s="3369">
        <f t="shared" si="41"/>
        <v>6.7829103523826983E-2</v>
      </c>
      <c r="KH21" s="3369">
        <f t="shared" si="42"/>
        <v>0.37154826023766785</v>
      </c>
      <c r="KI21" s="3369">
        <f t="shared" si="43"/>
        <v>-0.69725113756778656</v>
      </c>
      <c r="KJ21" s="3368">
        <f t="shared" si="44"/>
        <v>-0.79218350682540672</v>
      </c>
      <c r="KK21" s="3369">
        <f t="shared" si="57"/>
        <v>-0.31356804611900346</v>
      </c>
      <c r="KL21" s="4678">
        <f t="shared" si="59"/>
        <v>-0.67449978183631498</v>
      </c>
      <c r="KM21" s="4678">
        <f t="shared" si="58"/>
        <v>0.56628674265146972</v>
      </c>
      <c r="KN21" s="3045"/>
      <c r="KO21" s="3045"/>
      <c r="KP21" s="3045"/>
      <c r="KQ21" s="3045"/>
      <c r="KR21" s="3045"/>
      <c r="KS21" s="3045"/>
      <c r="KT21" s="3045"/>
      <c r="KU21" s="3045"/>
      <c r="KV21" s="3045"/>
      <c r="KW21" s="3045"/>
      <c r="KX21" s="3045"/>
      <c r="KY21" s="3045"/>
      <c r="KZ21" s="3045"/>
      <c r="LA21" s="3045"/>
      <c r="LB21" s="3045"/>
      <c r="LC21" s="3045"/>
      <c r="LD21" s="3045"/>
      <c r="LE21" s="3045"/>
      <c r="LF21" s="3045"/>
      <c r="LG21" s="3045"/>
      <c r="LH21" s="3045"/>
      <c r="LI21" s="3045"/>
      <c r="LJ21" s="3045"/>
      <c r="LK21" s="2525"/>
      <c r="LL21" s="2525"/>
      <c r="LM21" s="2525"/>
      <c r="LN21" s="2525"/>
      <c r="LO21" s="2525"/>
      <c r="LP21" s="2525"/>
      <c r="LQ21" s="2525"/>
      <c r="LR21" s="2525"/>
    </row>
    <row r="22" spans="1:330" ht="21.9" customHeight="1">
      <c r="A22" s="3372"/>
      <c r="B22" s="3045"/>
      <c r="C22" s="3373" t="s">
        <v>1360</v>
      </c>
      <c r="D22" s="3330">
        <v>367</v>
      </c>
      <c r="E22" s="3331">
        <v>335</v>
      </c>
      <c r="F22" s="3331">
        <v>364</v>
      </c>
      <c r="G22" s="3331">
        <v>343</v>
      </c>
      <c r="H22" s="3331">
        <v>321</v>
      </c>
      <c r="I22" s="3331">
        <v>421</v>
      </c>
      <c r="J22" s="3331">
        <v>1328</v>
      </c>
      <c r="K22" s="3331">
        <v>606</v>
      </c>
      <c r="L22" s="3331">
        <v>710</v>
      </c>
      <c r="M22" s="3331">
        <v>637</v>
      </c>
      <c r="N22" s="3331">
        <v>607</v>
      </c>
      <c r="O22" s="3332">
        <v>455</v>
      </c>
      <c r="P22" s="3333">
        <v>449</v>
      </c>
      <c r="Q22" s="3334">
        <v>677</v>
      </c>
      <c r="R22" s="3334">
        <v>399</v>
      </c>
      <c r="S22" s="3334">
        <v>431</v>
      </c>
      <c r="T22" s="3334">
        <v>467</v>
      </c>
      <c r="U22" s="3334">
        <v>553</v>
      </c>
      <c r="V22" s="3334">
        <v>1757</v>
      </c>
      <c r="W22" s="3334">
        <v>735</v>
      </c>
      <c r="X22" s="3334">
        <v>835</v>
      </c>
      <c r="Y22" s="3334">
        <v>626</v>
      </c>
      <c r="Z22" s="3334">
        <v>706</v>
      </c>
      <c r="AA22" s="3335">
        <v>541</v>
      </c>
      <c r="AB22" s="3336">
        <v>469</v>
      </c>
      <c r="AC22" s="3337">
        <v>395</v>
      </c>
      <c r="AD22" s="3337">
        <v>369</v>
      </c>
      <c r="AE22" s="3337">
        <v>552</v>
      </c>
      <c r="AF22" s="3337">
        <v>528.5</v>
      </c>
      <c r="AG22" s="3337">
        <v>505</v>
      </c>
      <c r="AH22" s="3337">
        <v>1602</v>
      </c>
      <c r="AI22" s="3337">
        <v>575</v>
      </c>
      <c r="AJ22" s="3337">
        <v>499</v>
      </c>
      <c r="AK22" s="3337">
        <v>639</v>
      </c>
      <c r="AL22" s="3337">
        <v>543</v>
      </c>
      <c r="AM22" s="3338">
        <v>581</v>
      </c>
      <c r="AN22" s="3339">
        <v>434</v>
      </c>
      <c r="AO22" s="3340">
        <v>396</v>
      </c>
      <c r="AP22" s="3340">
        <v>432</v>
      </c>
      <c r="AQ22" s="3340">
        <v>463</v>
      </c>
      <c r="AR22" s="3340">
        <v>441</v>
      </c>
      <c r="AS22" s="3340">
        <v>377</v>
      </c>
      <c r="AT22" s="3340">
        <v>1417</v>
      </c>
      <c r="AU22" s="3340">
        <v>511</v>
      </c>
      <c r="AV22" s="3340">
        <v>455</v>
      </c>
      <c r="AW22" s="3340">
        <v>706</v>
      </c>
      <c r="AX22" s="3340">
        <v>468</v>
      </c>
      <c r="AY22" s="3341">
        <v>524</v>
      </c>
      <c r="AZ22" s="3277">
        <v>438</v>
      </c>
      <c r="BA22" s="3277">
        <v>331</v>
      </c>
      <c r="BB22" s="3277">
        <v>359</v>
      </c>
      <c r="BC22" s="3277">
        <v>410</v>
      </c>
      <c r="BD22" s="3277">
        <v>374</v>
      </c>
      <c r="BE22" s="3277">
        <v>359</v>
      </c>
      <c r="BF22" s="3277">
        <v>1243</v>
      </c>
      <c r="BG22" s="3277">
        <v>455</v>
      </c>
      <c r="BH22" s="3277">
        <v>514</v>
      </c>
      <c r="BI22" s="3277">
        <v>723</v>
      </c>
      <c r="BJ22" s="3277">
        <v>623</v>
      </c>
      <c r="BK22" s="3374">
        <v>735</v>
      </c>
      <c r="BL22" s="3344">
        <v>332</v>
      </c>
      <c r="BM22" s="3345">
        <v>352</v>
      </c>
      <c r="BN22" s="3345">
        <v>638</v>
      </c>
      <c r="BO22" s="3345">
        <v>642</v>
      </c>
      <c r="BP22" s="3345">
        <v>601</v>
      </c>
      <c r="BQ22" s="3345">
        <v>662</v>
      </c>
      <c r="BR22" s="3345">
        <v>1316</v>
      </c>
      <c r="BS22" s="3345">
        <v>757</v>
      </c>
      <c r="BT22" s="3346">
        <v>771</v>
      </c>
      <c r="BU22" s="3346">
        <v>824</v>
      </c>
      <c r="BV22" s="3346">
        <v>633</v>
      </c>
      <c r="BW22" s="3347">
        <v>769</v>
      </c>
      <c r="BX22" s="3348">
        <v>724</v>
      </c>
      <c r="BY22" s="3273">
        <v>624</v>
      </c>
      <c r="BZ22" s="3273">
        <v>698</v>
      </c>
      <c r="CA22" s="3273">
        <v>891</v>
      </c>
      <c r="CB22" s="3273">
        <v>886</v>
      </c>
      <c r="CC22" s="3273">
        <v>710</v>
      </c>
      <c r="CD22" s="3273">
        <v>1482</v>
      </c>
      <c r="CE22" s="3273">
        <v>838</v>
      </c>
      <c r="CF22" s="3273">
        <v>807</v>
      </c>
      <c r="CG22" s="3273">
        <v>948</v>
      </c>
      <c r="CH22" s="3273">
        <v>938</v>
      </c>
      <c r="CI22" s="3275">
        <v>944</v>
      </c>
      <c r="CJ22" s="3349">
        <v>899</v>
      </c>
      <c r="CK22" s="3350">
        <v>843</v>
      </c>
      <c r="CL22" s="3350">
        <v>878</v>
      </c>
      <c r="CM22" s="3350">
        <v>841</v>
      </c>
      <c r="CN22" s="3350">
        <v>842</v>
      </c>
      <c r="CO22" s="3350">
        <v>797</v>
      </c>
      <c r="CP22" s="3350">
        <v>1571</v>
      </c>
      <c r="CQ22" s="3350">
        <v>851</v>
      </c>
      <c r="CR22" s="3350">
        <v>1035</v>
      </c>
      <c r="CS22" s="3350">
        <v>1030</v>
      </c>
      <c r="CT22" s="3350">
        <v>948</v>
      </c>
      <c r="CU22" s="3351">
        <v>981</v>
      </c>
      <c r="CV22" s="3349">
        <v>855</v>
      </c>
      <c r="CW22" s="3350">
        <v>841</v>
      </c>
      <c r="CX22" s="3272">
        <v>827</v>
      </c>
      <c r="CY22" s="3272">
        <v>901</v>
      </c>
      <c r="CZ22" s="3272">
        <v>901</v>
      </c>
      <c r="DA22" s="3272">
        <v>856</v>
      </c>
      <c r="DB22" s="3272">
        <v>1787</v>
      </c>
      <c r="DC22" s="3272">
        <v>764</v>
      </c>
      <c r="DD22" s="3272">
        <v>989</v>
      </c>
      <c r="DE22" s="3272">
        <v>1108</v>
      </c>
      <c r="DF22" s="3272">
        <v>937</v>
      </c>
      <c r="DG22" s="3351">
        <v>924</v>
      </c>
      <c r="DH22" s="3352">
        <v>975</v>
      </c>
      <c r="DI22" s="3353">
        <v>931</v>
      </c>
      <c r="DJ22" s="3353">
        <v>933</v>
      </c>
      <c r="DK22" s="3354">
        <v>938</v>
      </c>
      <c r="DL22" s="3354">
        <v>939</v>
      </c>
      <c r="DM22" s="3354">
        <v>948</v>
      </c>
      <c r="DN22" s="3354">
        <v>1894</v>
      </c>
      <c r="DO22" s="3354">
        <v>1056</v>
      </c>
      <c r="DP22" s="2556">
        <v>1150</v>
      </c>
      <c r="DQ22" s="3354">
        <v>1239</v>
      </c>
      <c r="DR22" s="3354">
        <v>926</v>
      </c>
      <c r="DS22" s="3355">
        <v>928</v>
      </c>
      <c r="DT22" s="3356">
        <v>846</v>
      </c>
      <c r="DU22" s="3243">
        <v>781</v>
      </c>
      <c r="DV22" s="3243">
        <v>837</v>
      </c>
      <c r="DW22" s="3164">
        <v>939</v>
      </c>
      <c r="DX22" s="3164">
        <v>801</v>
      </c>
      <c r="DY22" s="3164">
        <v>778</v>
      </c>
      <c r="DZ22" s="3164">
        <v>1612</v>
      </c>
      <c r="EA22" s="3164">
        <v>968</v>
      </c>
      <c r="EB22" s="3164">
        <v>1028</v>
      </c>
      <c r="EC22" s="3164">
        <v>920</v>
      </c>
      <c r="ED22" s="3164">
        <v>885</v>
      </c>
      <c r="EE22" s="3163">
        <v>950</v>
      </c>
      <c r="EF22" s="2532">
        <v>866</v>
      </c>
      <c r="EG22" s="2531">
        <v>853</v>
      </c>
      <c r="EH22" s="2531">
        <v>898</v>
      </c>
      <c r="EI22" s="2531">
        <v>1073</v>
      </c>
      <c r="EJ22" s="2531">
        <v>931</v>
      </c>
      <c r="EK22" s="2531">
        <v>941</v>
      </c>
      <c r="EL22" s="2531">
        <v>1802</v>
      </c>
      <c r="EM22" s="2557">
        <v>1092</v>
      </c>
      <c r="EN22" s="2557">
        <v>1158</v>
      </c>
      <c r="EO22" s="2558">
        <v>1103</v>
      </c>
      <c r="EP22" s="2558">
        <v>1010</v>
      </c>
      <c r="EQ22" s="2559">
        <v>1007</v>
      </c>
      <c r="ER22" s="1322">
        <v>981</v>
      </c>
      <c r="ES22" s="3357">
        <v>895</v>
      </c>
      <c r="ET22" s="3357">
        <v>974</v>
      </c>
      <c r="EU22" s="2560">
        <v>1041</v>
      </c>
      <c r="EV22" s="2106">
        <v>1032</v>
      </c>
      <c r="EW22" s="2106">
        <v>969</v>
      </c>
      <c r="EX22" s="2106">
        <v>2132</v>
      </c>
      <c r="EY22" s="2106">
        <v>1183</v>
      </c>
      <c r="EZ22" s="2106">
        <v>1236</v>
      </c>
      <c r="FA22" s="2275">
        <v>803</v>
      </c>
      <c r="FB22" s="2275">
        <v>1077</v>
      </c>
      <c r="FC22" s="2275">
        <v>1204</v>
      </c>
      <c r="FD22" s="2608">
        <v>1022</v>
      </c>
      <c r="FE22" s="2609">
        <v>944</v>
      </c>
      <c r="FF22" s="2609">
        <v>564</v>
      </c>
      <c r="FG22" s="2609">
        <v>50</v>
      </c>
      <c r="FH22" s="2609">
        <v>87</v>
      </c>
      <c r="FI22" s="2609">
        <v>159</v>
      </c>
      <c r="FJ22" s="2609">
        <v>268</v>
      </c>
      <c r="FK22" s="2609">
        <v>310</v>
      </c>
      <c r="FL22" s="2609">
        <v>137</v>
      </c>
      <c r="FM22" s="2609">
        <v>147</v>
      </c>
      <c r="FN22" s="2609">
        <v>115</v>
      </c>
      <c r="FO22" s="2610">
        <v>375</v>
      </c>
      <c r="FP22" s="2608">
        <v>325</v>
      </c>
      <c r="FQ22" s="2609">
        <v>103</v>
      </c>
      <c r="FR22" s="2609">
        <v>130</v>
      </c>
      <c r="FS22" s="2609">
        <v>121</v>
      </c>
      <c r="FT22" s="2609">
        <v>109</v>
      </c>
      <c r="FU22" s="2609">
        <v>167</v>
      </c>
      <c r="FV22" s="2609">
        <v>328</v>
      </c>
      <c r="FW22" s="2609">
        <v>211</v>
      </c>
      <c r="FX22" s="2609">
        <v>240</v>
      </c>
      <c r="FY22" s="2609">
        <v>449</v>
      </c>
      <c r="FZ22" s="2609">
        <v>613</v>
      </c>
      <c r="GA22" s="2610">
        <v>735</v>
      </c>
      <c r="GB22" s="4656">
        <v>696</v>
      </c>
      <c r="GC22" s="4657">
        <v>626</v>
      </c>
      <c r="GD22" s="4657">
        <v>763</v>
      </c>
      <c r="GE22" s="4657">
        <v>950</v>
      </c>
      <c r="GF22" s="4657">
        <v>833</v>
      </c>
      <c r="GG22" s="4657"/>
      <c r="GH22" s="4657"/>
      <c r="GI22" s="4657"/>
      <c r="GJ22" s="4657"/>
      <c r="GK22" s="4657"/>
      <c r="GL22" s="4657"/>
      <c r="GM22" s="4658"/>
      <c r="GN22" s="2607"/>
      <c r="GO22" s="2754">
        <v>1066</v>
      </c>
      <c r="GP22" s="2755">
        <v>1085</v>
      </c>
      <c r="GQ22" s="2755">
        <v>2644</v>
      </c>
      <c r="GR22" s="2756">
        <v>1699</v>
      </c>
      <c r="GS22" s="2757">
        <v>1525</v>
      </c>
      <c r="GT22" s="2758">
        <v>1451</v>
      </c>
      <c r="GU22" s="2758">
        <v>3327</v>
      </c>
      <c r="GV22" s="2759">
        <v>1873</v>
      </c>
      <c r="GW22" s="2760">
        <v>1233</v>
      </c>
      <c r="GX22" s="2761">
        <v>1585.5</v>
      </c>
      <c r="GY22" s="2762">
        <v>2676</v>
      </c>
      <c r="GZ22" s="2762">
        <v>1763</v>
      </c>
      <c r="HA22" s="2763">
        <v>1262</v>
      </c>
      <c r="HB22" s="2764">
        <v>1281</v>
      </c>
      <c r="HC22" s="2764">
        <v>2383</v>
      </c>
      <c r="HD22" s="2765">
        <v>1698</v>
      </c>
      <c r="HE22" s="2766">
        <v>1128</v>
      </c>
      <c r="HF22" s="2767">
        <v>1143</v>
      </c>
      <c r="HG22" s="2767">
        <v>2212</v>
      </c>
      <c r="HH22" s="2768">
        <v>2081</v>
      </c>
      <c r="HI22" s="2764">
        <v>1322</v>
      </c>
      <c r="HJ22" s="2764">
        <v>1905</v>
      </c>
      <c r="HK22" s="2764">
        <v>2844</v>
      </c>
      <c r="HL22" s="2764">
        <v>2226</v>
      </c>
      <c r="HM22" s="2769">
        <v>2046</v>
      </c>
      <c r="HN22" s="2769">
        <v>2487</v>
      </c>
      <c r="HO22" s="2769">
        <v>3127</v>
      </c>
      <c r="HP22" s="2769">
        <v>2830</v>
      </c>
      <c r="HQ22" s="2770">
        <v>2620</v>
      </c>
      <c r="HR22" s="2770">
        <v>2480</v>
      </c>
      <c r="HS22" s="2770">
        <f t="shared" si="1"/>
        <v>3457</v>
      </c>
      <c r="HT22" s="2770">
        <v>2959</v>
      </c>
      <c r="HU22" s="2771">
        <v>2523</v>
      </c>
      <c r="HV22" s="2771">
        <f t="shared" si="2"/>
        <v>2658</v>
      </c>
      <c r="HW22" s="2771">
        <f t="shared" si="3"/>
        <v>3540</v>
      </c>
      <c r="HX22" s="2770">
        <f t="shared" si="4"/>
        <v>2969</v>
      </c>
      <c r="HY22" s="2689">
        <f t="shared" si="5"/>
        <v>2839</v>
      </c>
      <c r="HZ22" s="2689">
        <f t="shared" si="6"/>
        <v>2825</v>
      </c>
      <c r="IA22" s="2689">
        <f t="shared" si="7"/>
        <v>3878</v>
      </c>
      <c r="IB22" s="2689">
        <f t="shared" si="8"/>
        <v>3093</v>
      </c>
      <c r="IC22" s="2764">
        <f t="shared" si="9"/>
        <v>2464</v>
      </c>
      <c r="ID22" s="2764">
        <f t="shared" si="10"/>
        <v>2518</v>
      </c>
      <c r="IE22" s="2764">
        <f t="shared" si="11"/>
        <v>3608</v>
      </c>
      <c r="IF22" s="2764">
        <f t="shared" si="12"/>
        <v>2755</v>
      </c>
      <c r="IG22" s="2772">
        <f t="shared" si="13"/>
        <v>2617</v>
      </c>
      <c r="IH22" s="2769">
        <f t="shared" si="14"/>
        <v>2945</v>
      </c>
      <c r="II22" s="2769">
        <f t="shared" si="15"/>
        <v>4052</v>
      </c>
      <c r="IJ22" s="2769">
        <f t="shared" si="16"/>
        <v>3120</v>
      </c>
      <c r="IK22" s="2773">
        <f t="shared" si="17"/>
        <v>2850</v>
      </c>
      <c r="IL22" s="2774">
        <f t="shared" si="18"/>
        <v>3042</v>
      </c>
      <c r="IM22" s="2774">
        <f t="shared" si="19"/>
        <v>4551</v>
      </c>
      <c r="IN22" s="2774">
        <f t="shared" si="20"/>
        <v>3084</v>
      </c>
      <c r="IO22" s="2775">
        <f t="shared" si="21"/>
        <v>2530</v>
      </c>
      <c r="IP22" s="2776">
        <f t="shared" si="22"/>
        <v>296</v>
      </c>
      <c r="IQ22" s="2776">
        <f>FJ22+FK22+FL22</f>
        <v>715</v>
      </c>
      <c r="IR22" s="2777">
        <f t="shared" si="24"/>
        <v>637</v>
      </c>
      <c r="IS22" s="2772">
        <f t="shared" si="25"/>
        <v>558</v>
      </c>
      <c r="IT22" s="2769">
        <f t="shared" si="26"/>
        <v>397</v>
      </c>
      <c r="IU22" s="2769">
        <f t="shared" si="27"/>
        <v>779</v>
      </c>
      <c r="IV22" s="2769">
        <f t="shared" si="28"/>
        <v>1797</v>
      </c>
      <c r="IW22" s="3976">
        <f t="shared" si="46"/>
        <v>2085</v>
      </c>
      <c r="IX22" s="2764">
        <f t="shared" si="47"/>
        <v>1783</v>
      </c>
      <c r="IY22" s="2764">
        <f t="shared" si="48"/>
        <v>0</v>
      </c>
      <c r="IZ22" s="3977">
        <f t="shared" si="49"/>
        <v>0</v>
      </c>
      <c r="JA22" s="3957"/>
      <c r="JB22" s="3358">
        <v>6494</v>
      </c>
      <c r="JC22" s="3359">
        <v>8176</v>
      </c>
      <c r="JD22" s="3359">
        <v>7257.5</v>
      </c>
      <c r="JE22" s="3359">
        <v>6624</v>
      </c>
      <c r="JF22" s="3359">
        <v>6564</v>
      </c>
      <c r="JG22" s="3359">
        <v>8297</v>
      </c>
      <c r="JH22" s="3360">
        <v>10490</v>
      </c>
      <c r="JI22" s="3361">
        <v>11516</v>
      </c>
      <c r="JJ22" s="3361">
        <f t="shared" si="29"/>
        <v>11690</v>
      </c>
      <c r="JK22" s="3361">
        <f t="shared" si="30"/>
        <v>12857</v>
      </c>
      <c r="JL22" s="3361">
        <f t="shared" si="31"/>
        <v>11345</v>
      </c>
      <c r="JM22" s="3361">
        <f t="shared" si="32"/>
        <v>12734</v>
      </c>
      <c r="JN22" s="3362">
        <f t="shared" si="0"/>
        <v>13527</v>
      </c>
      <c r="JO22" s="3380">
        <f t="shared" si="33"/>
        <v>4178</v>
      </c>
      <c r="JP22" s="3378">
        <f t="shared" si="50"/>
        <v>3531</v>
      </c>
      <c r="JQ22" s="3377">
        <f t="shared" si="51"/>
        <v>6611</v>
      </c>
      <c r="JS22" s="4673">
        <f t="shared" si="52"/>
        <v>428</v>
      </c>
      <c r="JT22" s="3579">
        <f t="shared" si="53"/>
        <v>3868</v>
      </c>
      <c r="JU22" s="2525"/>
      <c r="JV22" s="3365">
        <f t="shared" si="54"/>
        <v>4773.333333333333</v>
      </c>
      <c r="JW22" s="3366">
        <f t="shared" si="34"/>
        <v>2.0485129679140124E-2</v>
      </c>
      <c r="JX22" s="3366">
        <f t="shared" si="35"/>
        <v>1.7375496032505731E-2</v>
      </c>
      <c r="JY22" s="3366">
        <f t="shared" si="55"/>
        <v>1.8535662299854441E-2</v>
      </c>
      <c r="JZ22" s="3366">
        <f t="shared" si="36"/>
        <v>1.9689956331877728E-2</v>
      </c>
      <c r="KA22" s="3366">
        <f t="shared" si="37"/>
        <v>2.1888670595939751E-2</v>
      </c>
      <c r="KB22" s="4688">
        <f t="shared" si="38"/>
        <v>1.2566015174593232E-2</v>
      </c>
      <c r="KC22" s="4691">
        <f t="shared" si="56"/>
        <v>1.381923991044982E-2</v>
      </c>
      <c r="KD22" s="3366"/>
      <c r="KE22" s="3368">
        <f t="shared" si="39"/>
        <v>-0.11760130668118529</v>
      </c>
      <c r="KF22" s="3369">
        <f t="shared" si="40"/>
        <v>-0.62873661559202509</v>
      </c>
      <c r="KG22" s="3369">
        <f t="shared" si="41"/>
        <v>0.12243278977523131</v>
      </c>
      <c r="KH22" s="3369">
        <f t="shared" si="42"/>
        <v>6.2274226480288908E-2</v>
      </c>
      <c r="KI22" s="3369">
        <f t="shared" si="43"/>
        <v>-0.69113624602646562</v>
      </c>
      <c r="KJ22" s="3368">
        <f t="shared" si="44"/>
        <v>-0.7389665114216013</v>
      </c>
      <c r="KK22" s="3369">
        <f t="shared" si="57"/>
        <v>-0.15485878410722831</v>
      </c>
      <c r="KL22" s="4678">
        <f t="shared" si="59"/>
        <v>-0.51127374879869891</v>
      </c>
      <c r="KM22" s="4678">
        <f t="shared" si="58"/>
        <v>0.87227414330218078</v>
      </c>
      <c r="KN22" s="3045"/>
      <c r="KO22" s="3045"/>
      <c r="KP22" s="3045"/>
      <c r="KQ22" s="3045"/>
      <c r="KR22" s="3045"/>
      <c r="KS22" s="3045"/>
      <c r="KT22" s="3045"/>
      <c r="KU22" s="3045"/>
      <c r="KV22" s="3045"/>
      <c r="KW22" s="3045"/>
      <c r="KX22" s="3045"/>
      <c r="KY22" s="3045"/>
      <c r="KZ22" s="3045"/>
      <c r="LA22" s="3045"/>
      <c r="LB22" s="3045"/>
      <c r="LC22" s="3045"/>
      <c r="LD22" s="3045"/>
      <c r="LE22" s="3045"/>
      <c r="LF22" s="3045"/>
      <c r="LG22" s="3045"/>
      <c r="LH22" s="3045"/>
      <c r="LI22" s="3045"/>
      <c r="LJ22" s="3045"/>
      <c r="LK22" s="2525"/>
      <c r="LL22" s="2525"/>
      <c r="LM22" s="2525"/>
      <c r="LN22" s="2525"/>
      <c r="LO22" s="2525"/>
      <c r="LP22" s="2525"/>
      <c r="LQ22" s="2525"/>
      <c r="LR22" s="2525"/>
    </row>
    <row r="23" spans="1:330" ht="21.9" customHeight="1">
      <c r="A23" s="3382"/>
      <c r="B23" s="3045"/>
      <c r="C23" s="3381" t="s">
        <v>23</v>
      </c>
      <c r="D23" s="3330">
        <v>364</v>
      </c>
      <c r="E23" s="3331">
        <v>398</v>
      </c>
      <c r="F23" s="3331">
        <v>362</v>
      </c>
      <c r="G23" s="3331">
        <v>333</v>
      </c>
      <c r="H23" s="3331">
        <v>305</v>
      </c>
      <c r="I23" s="3331">
        <v>347</v>
      </c>
      <c r="J23" s="3331">
        <v>748</v>
      </c>
      <c r="K23" s="3331">
        <v>334</v>
      </c>
      <c r="L23" s="3331">
        <v>478</v>
      </c>
      <c r="M23" s="3331">
        <v>546</v>
      </c>
      <c r="N23" s="3331">
        <v>492</v>
      </c>
      <c r="O23" s="3332">
        <v>429</v>
      </c>
      <c r="P23" s="3333">
        <v>442</v>
      </c>
      <c r="Q23" s="3334">
        <v>593</v>
      </c>
      <c r="R23" s="3334">
        <v>475</v>
      </c>
      <c r="S23" s="3334">
        <v>378</v>
      </c>
      <c r="T23" s="3334">
        <v>364</v>
      </c>
      <c r="U23" s="3334">
        <v>401</v>
      </c>
      <c r="V23" s="3334">
        <v>795</v>
      </c>
      <c r="W23" s="3334">
        <v>418</v>
      </c>
      <c r="X23" s="3334">
        <v>410</v>
      </c>
      <c r="Y23" s="3334">
        <v>462</v>
      </c>
      <c r="Z23" s="3334">
        <v>547</v>
      </c>
      <c r="AA23" s="3335">
        <v>450</v>
      </c>
      <c r="AB23" s="3336">
        <v>472</v>
      </c>
      <c r="AC23" s="3337">
        <v>324</v>
      </c>
      <c r="AD23" s="3337">
        <v>379</v>
      </c>
      <c r="AE23" s="3337">
        <v>343</v>
      </c>
      <c r="AF23" s="3337">
        <v>385.5</v>
      </c>
      <c r="AG23" s="3337">
        <v>428</v>
      </c>
      <c r="AH23" s="3337">
        <v>875</v>
      </c>
      <c r="AI23" s="3337">
        <v>391</v>
      </c>
      <c r="AJ23" s="3337">
        <v>458</v>
      </c>
      <c r="AK23" s="3337">
        <v>460</v>
      </c>
      <c r="AL23" s="3337">
        <v>532</v>
      </c>
      <c r="AM23" s="3338">
        <v>487</v>
      </c>
      <c r="AN23" s="3339">
        <v>443</v>
      </c>
      <c r="AO23" s="3340">
        <v>376</v>
      </c>
      <c r="AP23" s="3340">
        <v>358</v>
      </c>
      <c r="AQ23" s="3340">
        <v>310</v>
      </c>
      <c r="AR23" s="3340">
        <v>315</v>
      </c>
      <c r="AS23" s="3340">
        <v>379</v>
      </c>
      <c r="AT23" s="3340">
        <v>783</v>
      </c>
      <c r="AU23" s="3340">
        <v>396</v>
      </c>
      <c r="AV23" s="3340">
        <v>362</v>
      </c>
      <c r="AW23" s="3340">
        <v>563</v>
      </c>
      <c r="AX23" s="3340">
        <v>559</v>
      </c>
      <c r="AY23" s="3341">
        <v>469</v>
      </c>
      <c r="AZ23" s="3277">
        <v>429</v>
      </c>
      <c r="BA23" s="3277">
        <v>404</v>
      </c>
      <c r="BB23" s="3277">
        <v>315</v>
      </c>
      <c r="BC23" s="3277">
        <v>400</v>
      </c>
      <c r="BD23" s="3277">
        <v>329</v>
      </c>
      <c r="BE23" s="3277">
        <v>370</v>
      </c>
      <c r="BF23" s="3277">
        <v>834</v>
      </c>
      <c r="BG23" s="3277">
        <v>402</v>
      </c>
      <c r="BH23" s="3277">
        <v>363</v>
      </c>
      <c r="BI23" s="3277">
        <v>578</v>
      </c>
      <c r="BJ23" s="3277">
        <v>603</v>
      </c>
      <c r="BK23" s="3374">
        <v>577</v>
      </c>
      <c r="BL23" s="3344">
        <v>442</v>
      </c>
      <c r="BM23" s="3345">
        <v>386</v>
      </c>
      <c r="BN23" s="3345">
        <v>342</v>
      </c>
      <c r="BO23" s="3345">
        <v>413</v>
      </c>
      <c r="BP23" s="3345">
        <v>323</v>
      </c>
      <c r="BQ23" s="3345">
        <v>446</v>
      </c>
      <c r="BR23" s="3345">
        <v>986</v>
      </c>
      <c r="BS23" s="3345">
        <v>441</v>
      </c>
      <c r="BT23" s="3346">
        <v>500</v>
      </c>
      <c r="BU23" s="3346">
        <v>622</v>
      </c>
      <c r="BV23" s="3346">
        <v>645</v>
      </c>
      <c r="BW23" s="3347">
        <v>674</v>
      </c>
      <c r="BX23" s="3348">
        <v>449</v>
      </c>
      <c r="BY23" s="3273">
        <v>392</v>
      </c>
      <c r="BZ23" s="3273">
        <v>495</v>
      </c>
      <c r="CA23" s="3273">
        <v>430</v>
      </c>
      <c r="CB23" s="3273">
        <v>411</v>
      </c>
      <c r="CC23" s="3273">
        <v>419</v>
      </c>
      <c r="CD23" s="3273">
        <v>996</v>
      </c>
      <c r="CE23" s="3273">
        <v>438</v>
      </c>
      <c r="CF23" s="3273">
        <v>418</v>
      </c>
      <c r="CG23" s="3273">
        <v>574</v>
      </c>
      <c r="CH23" s="3273">
        <v>598</v>
      </c>
      <c r="CI23" s="3275">
        <v>671</v>
      </c>
      <c r="CJ23" s="3349">
        <v>474</v>
      </c>
      <c r="CK23" s="3350">
        <v>485</v>
      </c>
      <c r="CL23" s="3350">
        <v>443</v>
      </c>
      <c r="CM23" s="3350">
        <v>516</v>
      </c>
      <c r="CN23" s="3350">
        <v>447</v>
      </c>
      <c r="CO23" s="3350">
        <v>401</v>
      </c>
      <c r="CP23" s="3350">
        <v>1000</v>
      </c>
      <c r="CQ23" s="3350">
        <v>403</v>
      </c>
      <c r="CR23" s="3350">
        <v>432</v>
      </c>
      <c r="CS23" s="3350">
        <v>612</v>
      </c>
      <c r="CT23" s="3350">
        <v>615</v>
      </c>
      <c r="CU23" s="3351">
        <v>638</v>
      </c>
      <c r="CV23" s="3349">
        <v>514</v>
      </c>
      <c r="CW23" s="3350">
        <v>443</v>
      </c>
      <c r="CX23" s="3272">
        <v>472</v>
      </c>
      <c r="CY23" s="3272">
        <v>513</v>
      </c>
      <c r="CZ23" s="3272">
        <v>444</v>
      </c>
      <c r="DA23" s="3272">
        <v>445</v>
      </c>
      <c r="DB23" s="3272">
        <v>1074</v>
      </c>
      <c r="DC23" s="3272">
        <v>403</v>
      </c>
      <c r="DD23" s="3272">
        <v>441</v>
      </c>
      <c r="DE23" s="3272">
        <v>599</v>
      </c>
      <c r="DF23" s="3272">
        <v>582</v>
      </c>
      <c r="DG23" s="3351">
        <v>596</v>
      </c>
      <c r="DH23" s="3352">
        <v>566</v>
      </c>
      <c r="DI23" s="3353">
        <v>575</v>
      </c>
      <c r="DJ23" s="3353">
        <v>533</v>
      </c>
      <c r="DK23" s="3354">
        <v>489</v>
      </c>
      <c r="DL23" s="3354">
        <v>387</v>
      </c>
      <c r="DM23" s="3354">
        <v>383</v>
      </c>
      <c r="DN23" s="3354">
        <v>1133</v>
      </c>
      <c r="DO23" s="3354">
        <v>480</v>
      </c>
      <c r="DP23" s="2556">
        <v>403</v>
      </c>
      <c r="DQ23" s="3354">
        <v>692</v>
      </c>
      <c r="DR23" s="3354">
        <v>501</v>
      </c>
      <c r="DS23" s="3355">
        <v>545</v>
      </c>
      <c r="DT23" s="3356">
        <v>510</v>
      </c>
      <c r="DU23" s="3243">
        <v>457</v>
      </c>
      <c r="DV23" s="3243">
        <v>436</v>
      </c>
      <c r="DW23" s="3164">
        <v>611</v>
      </c>
      <c r="DX23" s="3164">
        <v>335</v>
      </c>
      <c r="DY23" s="3164">
        <v>452</v>
      </c>
      <c r="DZ23" s="3164">
        <v>981</v>
      </c>
      <c r="EA23" s="3164">
        <v>427</v>
      </c>
      <c r="EB23" s="3164">
        <v>447</v>
      </c>
      <c r="EC23" s="3164">
        <v>575</v>
      </c>
      <c r="ED23" s="3164">
        <v>478</v>
      </c>
      <c r="EE23" s="3163">
        <v>579</v>
      </c>
      <c r="EF23" s="2532">
        <v>507</v>
      </c>
      <c r="EG23" s="2531">
        <v>534</v>
      </c>
      <c r="EH23" s="2531">
        <v>515</v>
      </c>
      <c r="EI23" s="2531">
        <v>487</v>
      </c>
      <c r="EJ23" s="2531">
        <v>373</v>
      </c>
      <c r="EK23" s="2531">
        <v>437</v>
      </c>
      <c r="EL23" s="2531">
        <v>1093</v>
      </c>
      <c r="EM23" s="2557">
        <v>415</v>
      </c>
      <c r="EN23" s="2557">
        <v>526</v>
      </c>
      <c r="EO23" s="2558">
        <v>655</v>
      </c>
      <c r="EP23" s="2558">
        <v>579</v>
      </c>
      <c r="EQ23" s="2559">
        <v>714</v>
      </c>
      <c r="ER23" s="1323">
        <v>500</v>
      </c>
      <c r="ES23" s="3357">
        <v>462</v>
      </c>
      <c r="ET23" s="3357">
        <v>398</v>
      </c>
      <c r="EU23" s="2560">
        <v>546</v>
      </c>
      <c r="EV23" s="2107">
        <v>441</v>
      </c>
      <c r="EW23" s="2107">
        <v>503</v>
      </c>
      <c r="EX23" s="2107">
        <v>1198</v>
      </c>
      <c r="EY23" s="2107">
        <v>550</v>
      </c>
      <c r="EZ23" s="2107">
        <v>532</v>
      </c>
      <c r="FA23" s="2275">
        <v>538</v>
      </c>
      <c r="FB23" s="2275">
        <v>589</v>
      </c>
      <c r="FC23" s="2275">
        <v>776</v>
      </c>
      <c r="FD23" s="2608">
        <v>571</v>
      </c>
      <c r="FE23" s="2609">
        <v>552</v>
      </c>
      <c r="FF23" s="2609">
        <v>193</v>
      </c>
      <c r="FG23" s="2609">
        <v>35</v>
      </c>
      <c r="FH23" s="2609">
        <v>2</v>
      </c>
      <c r="FI23" s="2609">
        <v>3</v>
      </c>
      <c r="FJ23" s="2609">
        <v>30</v>
      </c>
      <c r="FK23" s="2609">
        <v>34</v>
      </c>
      <c r="FL23" s="2609">
        <v>34</v>
      </c>
      <c r="FM23" s="2609">
        <v>67</v>
      </c>
      <c r="FN23" s="2609">
        <v>84</v>
      </c>
      <c r="FO23" s="2610">
        <v>202</v>
      </c>
      <c r="FP23" s="2608">
        <v>97</v>
      </c>
      <c r="FQ23" s="2609">
        <v>118</v>
      </c>
      <c r="FR23" s="2609">
        <v>135</v>
      </c>
      <c r="FS23" s="2609">
        <v>186</v>
      </c>
      <c r="FT23" s="2609">
        <v>125</v>
      </c>
      <c r="FU23" s="2609">
        <v>171</v>
      </c>
      <c r="FV23" s="2609">
        <v>569</v>
      </c>
      <c r="FW23" s="2609">
        <v>250</v>
      </c>
      <c r="FX23" s="2609">
        <v>239</v>
      </c>
      <c r="FY23" s="2609">
        <v>445</v>
      </c>
      <c r="FZ23" s="2609">
        <v>394</v>
      </c>
      <c r="GA23" s="2610">
        <v>466</v>
      </c>
      <c r="GB23" s="4659">
        <v>315</v>
      </c>
      <c r="GC23" s="4660">
        <v>360</v>
      </c>
      <c r="GD23" s="4660">
        <v>335</v>
      </c>
      <c r="GE23" s="4660">
        <v>506</v>
      </c>
      <c r="GF23" s="4660">
        <v>390</v>
      </c>
      <c r="GG23" s="4660"/>
      <c r="GH23" s="4660"/>
      <c r="GI23" s="4660"/>
      <c r="GJ23" s="4660"/>
      <c r="GK23" s="4660"/>
      <c r="GL23" s="4660"/>
      <c r="GM23" s="4661"/>
      <c r="GN23" s="2607"/>
      <c r="GO23" s="2754">
        <v>1124</v>
      </c>
      <c r="GP23" s="2755">
        <v>985</v>
      </c>
      <c r="GQ23" s="2755">
        <v>1560</v>
      </c>
      <c r="GR23" s="2756">
        <v>1467</v>
      </c>
      <c r="GS23" s="2757">
        <v>1510</v>
      </c>
      <c r="GT23" s="2758">
        <v>1143</v>
      </c>
      <c r="GU23" s="2758">
        <v>1623</v>
      </c>
      <c r="GV23" s="2759">
        <v>1459</v>
      </c>
      <c r="GW23" s="2760">
        <v>1175</v>
      </c>
      <c r="GX23" s="2761">
        <v>1156.5</v>
      </c>
      <c r="GY23" s="2762">
        <v>1724</v>
      </c>
      <c r="GZ23" s="2762">
        <v>1479</v>
      </c>
      <c r="HA23" s="2763">
        <v>1177</v>
      </c>
      <c r="HB23" s="2764">
        <v>1004</v>
      </c>
      <c r="HC23" s="2764">
        <v>1541</v>
      </c>
      <c r="HD23" s="2765">
        <v>1591</v>
      </c>
      <c r="HE23" s="2766">
        <v>1148</v>
      </c>
      <c r="HF23" s="2767">
        <v>1099</v>
      </c>
      <c r="HG23" s="2767">
        <v>1599</v>
      </c>
      <c r="HH23" s="2768">
        <v>1758</v>
      </c>
      <c r="HI23" s="2764">
        <v>1170</v>
      </c>
      <c r="HJ23" s="2764">
        <v>1182</v>
      </c>
      <c r="HK23" s="2764">
        <v>1927</v>
      </c>
      <c r="HL23" s="2764">
        <v>1941</v>
      </c>
      <c r="HM23" s="2769">
        <v>1336</v>
      </c>
      <c r="HN23" s="2769">
        <v>1260</v>
      </c>
      <c r="HO23" s="2769">
        <v>1852</v>
      </c>
      <c r="HP23" s="2769">
        <v>1843</v>
      </c>
      <c r="HQ23" s="2770">
        <v>1402</v>
      </c>
      <c r="HR23" s="2770">
        <v>1364</v>
      </c>
      <c r="HS23" s="2770">
        <f t="shared" si="1"/>
        <v>1835</v>
      </c>
      <c r="HT23" s="2770">
        <v>1865</v>
      </c>
      <c r="HU23" s="2771">
        <v>1429</v>
      </c>
      <c r="HV23" s="2771">
        <f t="shared" si="2"/>
        <v>1402</v>
      </c>
      <c r="HW23" s="2771">
        <f t="shared" si="3"/>
        <v>1918</v>
      </c>
      <c r="HX23" s="2770">
        <f t="shared" si="4"/>
        <v>1777</v>
      </c>
      <c r="HY23" s="2689">
        <f t="shared" si="5"/>
        <v>1674</v>
      </c>
      <c r="HZ23" s="2689">
        <f t="shared" si="6"/>
        <v>1259</v>
      </c>
      <c r="IA23" s="2689">
        <f t="shared" si="7"/>
        <v>2158</v>
      </c>
      <c r="IB23" s="2689">
        <f t="shared" si="8"/>
        <v>1738</v>
      </c>
      <c r="IC23" s="2764">
        <f t="shared" si="9"/>
        <v>1403</v>
      </c>
      <c r="ID23" s="2764">
        <f t="shared" si="10"/>
        <v>1398</v>
      </c>
      <c r="IE23" s="2764">
        <f t="shared" si="11"/>
        <v>1855</v>
      </c>
      <c r="IF23" s="2764">
        <f t="shared" si="12"/>
        <v>1632</v>
      </c>
      <c r="IG23" s="2772">
        <f t="shared" si="13"/>
        <v>1556</v>
      </c>
      <c r="IH23" s="2769">
        <f t="shared" si="14"/>
        <v>1297</v>
      </c>
      <c r="II23" s="2769">
        <f t="shared" si="15"/>
        <v>2034</v>
      </c>
      <c r="IJ23" s="2769">
        <f t="shared" si="16"/>
        <v>1948</v>
      </c>
      <c r="IK23" s="2773">
        <f t="shared" si="17"/>
        <v>1360</v>
      </c>
      <c r="IL23" s="2774">
        <f t="shared" si="18"/>
        <v>1490</v>
      </c>
      <c r="IM23" s="2774">
        <f t="shared" si="19"/>
        <v>2280</v>
      </c>
      <c r="IN23" s="2774">
        <f t="shared" si="20"/>
        <v>1903</v>
      </c>
      <c r="IO23" s="2775">
        <f t="shared" si="21"/>
        <v>1316</v>
      </c>
      <c r="IP23" s="2776">
        <f t="shared" si="22"/>
        <v>40</v>
      </c>
      <c r="IQ23" s="2776">
        <f>FJ23+FK23+FL23</f>
        <v>98</v>
      </c>
      <c r="IR23" s="2777">
        <f t="shared" si="24"/>
        <v>353</v>
      </c>
      <c r="IS23" s="2772">
        <f t="shared" si="25"/>
        <v>350</v>
      </c>
      <c r="IT23" s="2769">
        <f t="shared" si="26"/>
        <v>482</v>
      </c>
      <c r="IU23" s="2769">
        <f t="shared" si="27"/>
        <v>1058</v>
      </c>
      <c r="IV23" s="2769">
        <f t="shared" si="28"/>
        <v>1305</v>
      </c>
      <c r="IW23" s="3961">
        <f t="shared" si="46"/>
        <v>1010</v>
      </c>
      <c r="IX23" s="3953">
        <f t="shared" si="47"/>
        <v>896</v>
      </c>
      <c r="IY23" s="3953">
        <f t="shared" si="48"/>
        <v>0</v>
      </c>
      <c r="IZ23" s="3962">
        <f t="shared" si="49"/>
        <v>0</v>
      </c>
      <c r="JA23" s="3957"/>
      <c r="JB23" s="3358">
        <v>5136</v>
      </c>
      <c r="JC23" s="3359">
        <v>5735</v>
      </c>
      <c r="JD23" s="3359">
        <v>5534.5</v>
      </c>
      <c r="JE23" s="3359">
        <v>5313</v>
      </c>
      <c r="JF23" s="3359">
        <v>5604</v>
      </c>
      <c r="JG23" s="3359">
        <v>6220</v>
      </c>
      <c r="JH23" s="3360">
        <v>6291</v>
      </c>
      <c r="JI23" s="3361">
        <v>6466</v>
      </c>
      <c r="JJ23" s="3361">
        <f t="shared" si="29"/>
        <v>6526</v>
      </c>
      <c r="JK23" s="3361">
        <f t="shared" si="30"/>
        <v>6687</v>
      </c>
      <c r="JL23" s="3361">
        <f t="shared" si="31"/>
        <v>6288</v>
      </c>
      <c r="JM23" s="3361">
        <f t="shared" si="32"/>
        <v>6835</v>
      </c>
      <c r="JN23" s="3362">
        <f t="shared" si="0"/>
        <v>7033</v>
      </c>
      <c r="JO23" s="3380">
        <f t="shared" si="33"/>
        <v>1807</v>
      </c>
      <c r="JP23" s="3378">
        <f t="shared" si="50"/>
        <v>3195</v>
      </c>
      <c r="JQ23" s="3377">
        <f t="shared" si="51"/>
        <v>4440</v>
      </c>
      <c r="JS23" s="4673">
        <f t="shared" si="52"/>
        <v>215</v>
      </c>
      <c r="JT23" s="3579">
        <f t="shared" si="53"/>
        <v>1906</v>
      </c>
      <c r="JU23" s="2525"/>
      <c r="JV23" s="3365">
        <f t="shared" si="54"/>
        <v>3147.3333333333335</v>
      </c>
      <c r="JW23" s="3366">
        <f t="shared" si="34"/>
        <v>1.0654434328724432E-2</v>
      </c>
      <c r="JX23" s="3366">
        <f t="shared" si="35"/>
        <v>9.6304203660111092E-3</v>
      </c>
      <c r="JY23" s="3366">
        <f t="shared" si="55"/>
        <v>9.9490538573508008E-3</v>
      </c>
      <c r="JZ23" s="3366">
        <f t="shared" si="36"/>
        <v>1.02372634643377E-2</v>
      </c>
      <c r="KA23" s="3366">
        <f t="shared" si="37"/>
        <v>9.466928618205632E-3</v>
      </c>
      <c r="KB23" s="4688">
        <f t="shared" si="38"/>
        <v>1.1370268615923359E-2</v>
      </c>
      <c r="KC23" s="4691">
        <f t="shared" si="56"/>
        <v>9.281111057691303E-3</v>
      </c>
      <c r="KD23" s="3366"/>
      <c r="KE23" s="3368">
        <f t="shared" si="39"/>
        <v>-5.9668012561686856E-2</v>
      </c>
      <c r="KF23" s="3369">
        <f t="shared" si="40"/>
        <v>-0.52933552664373651</v>
      </c>
      <c r="KG23" s="3369">
        <f t="shared" si="41"/>
        <v>8.6991094147582659E-2</v>
      </c>
      <c r="KH23" s="3369">
        <f t="shared" si="42"/>
        <v>2.8968544257498063E-2</v>
      </c>
      <c r="KI23" s="3369">
        <f t="shared" si="43"/>
        <v>-0.7430683918669132</v>
      </c>
      <c r="KJ23" s="3368">
        <f t="shared" si="44"/>
        <v>-0.54571306696999855</v>
      </c>
      <c r="KK23" s="3369">
        <f t="shared" si="57"/>
        <v>0.76812396236856673</v>
      </c>
      <c r="KL23" s="4678">
        <f t="shared" si="59"/>
        <v>-0.36869045926347221</v>
      </c>
      <c r="KM23" s="4678">
        <f t="shared" si="58"/>
        <v>0.38967136150234749</v>
      </c>
      <c r="KN23" s="3045"/>
      <c r="KO23" s="3045"/>
      <c r="KP23" s="3045"/>
      <c r="KQ23" s="3045"/>
      <c r="KR23" s="3045"/>
      <c r="KS23" s="3045"/>
      <c r="KT23" s="3045"/>
      <c r="KU23" s="3045"/>
      <c r="KV23" s="3045"/>
      <c r="KW23" s="3045"/>
      <c r="KX23" s="3045"/>
      <c r="KY23" s="3045"/>
      <c r="KZ23" s="3045"/>
      <c r="LA23" s="3045"/>
      <c r="LB23" s="3045"/>
      <c r="LC23" s="3045"/>
      <c r="LD23" s="3045"/>
      <c r="LE23" s="3045"/>
      <c r="LF23" s="3045"/>
      <c r="LG23" s="3045"/>
      <c r="LH23" s="3045"/>
      <c r="LI23" s="3045"/>
      <c r="LJ23" s="3045"/>
      <c r="LK23" s="2525"/>
      <c r="LL23" s="2525"/>
      <c r="LM23" s="2525"/>
      <c r="LN23" s="2525"/>
      <c r="LO23" s="2525"/>
      <c r="LP23" s="2525"/>
      <c r="LQ23" s="2525"/>
      <c r="LR23" s="2525"/>
    </row>
    <row r="24" spans="1:330" ht="21.9" customHeight="1">
      <c r="A24" s="3382"/>
      <c r="B24" s="3045"/>
      <c r="C24" s="3381" t="s">
        <v>19</v>
      </c>
      <c r="D24" s="3330">
        <v>106</v>
      </c>
      <c r="E24" s="3331">
        <v>77</v>
      </c>
      <c r="F24" s="3331">
        <v>164</v>
      </c>
      <c r="G24" s="3331">
        <v>124</v>
      </c>
      <c r="H24" s="3331">
        <v>101</v>
      </c>
      <c r="I24" s="3331">
        <v>151</v>
      </c>
      <c r="J24" s="3331">
        <v>131</v>
      </c>
      <c r="K24" s="3331">
        <v>168</v>
      </c>
      <c r="L24" s="3331">
        <v>204</v>
      </c>
      <c r="M24" s="3331">
        <v>300</v>
      </c>
      <c r="N24" s="3331">
        <v>233</v>
      </c>
      <c r="O24" s="3332">
        <v>211</v>
      </c>
      <c r="P24" s="3333">
        <v>300</v>
      </c>
      <c r="Q24" s="3334">
        <v>404</v>
      </c>
      <c r="R24" s="3334">
        <v>290</v>
      </c>
      <c r="S24" s="3334">
        <v>346</v>
      </c>
      <c r="T24" s="3334">
        <v>350</v>
      </c>
      <c r="U24" s="3334">
        <v>372</v>
      </c>
      <c r="V24" s="3334">
        <v>536</v>
      </c>
      <c r="W24" s="3334">
        <v>619</v>
      </c>
      <c r="X24" s="3334">
        <v>611</v>
      </c>
      <c r="Y24" s="3334">
        <v>684</v>
      </c>
      <c r="Z24" s="3334">
        <v>721</v>
      </c>
      <c r="AA24" s="3335">
        <v>903</v>
      </c>
      <c r="AB24" s="3336">
        <v>1157</v>
      </c>
      <c r="AC24" s="3337">
        <v>1112</v>
      </c>
      <c r="AD24" s="3337">
        <v>1391</v>
      </c>
      <c r="AE24" s="3337">
        <v>1532</v>
      </c>
      <c r="AF24" s="3337">
        <v>1541.5</v>
      </c>
      <c r="AG24" s="3337">
        <v>1551</v>
      </c>
      <c r="AH24" s="3337">
        <v>1371</v>
      </c>
      <c r="AI24" s="3337">
        <v>1483</v>
      </c>
      <c r="AJ24" s="3337">
        <v>1483</v>
      </c>
      <c r="AK24" s="3337">
        <v>1483</v>
      </c>
      <c r="AL24" s="3337">
        <v>1508</v>
      </c>
      <c r="AM24" s="3338">
        <v>1112</v>
      </c>
      <c r="AN24" s="3339">
        <v>1670</v>
      </c>
      <c r="AO24" s="3340">
        <v>1244</v>
      </c>
      <c r="AP24" s="3340">
        <v>1508</v>
      </c>
      <c r="AQ24" s="3340">
        <v>1345</v>
      </c>
      <c r="AR24" s="3340">
        <v>1092</v>
      </c>
      <c r="AS24" s="3340">
        <v>1109</v>
      </c>
      <c r="AT24" s="3340">
        <v>891</v>
      </c>
      <c r="AU24" s="3340">
        <v>1140</v>
      </c>
      <c r="AV24" s="3340">
        <v>997</v>
      </c>
      <c r="AW24" s="3340">
        <v>1311</v>
      </c>
      <c r="AX24" s="3340">
        <v>1203</v>
      </c>
      <c r="AY24" s="3341">
        <v>960</v>
      </c>
      <c r="AZ24" s="3277">
        <v>992</v>
      </c>
      <c r="BA24" s="3277">
        <v>732</v>
      </c>
      <c r="BB24" s="3277">
        <v>978</v>
      </c>
      <c r="BC24" s="3277">
        <v>817</v>
      </c>
      <c r="BD24" s="3277">
        <v>838</v>
      </c>
      <c r="BE24" s="3277">
        <v>887</v>
      </c>
      <c r="BF24" s="3277">
        <v>692</v>
      </c>
      <c r="BG24" s="3277">
        <v>892</v>
      </c>
      <c r="BH24" s="3277">
        <v>731</v>
      </c>
      <c r="BI24" s="3277">
        <v>750</v>
      </c>
      <c r="BJ24" s="3277">
        <v>871</v>
      </c>
      <c r="BK24" s="3374">
        <v>710</v>
      </c>
      <c r="BL24" s="3344">
        <v>499</v>
      </c>
      <c r="BM24" s="3345">
        <v>499</v>
      </c>
      <c r="BN24" s="3345">
        <v>547</v>
      </c>
      <c r="BO24" s="3345">
        <v>895</v>
      </c>
      <c r="BP24" s="3345">
        <v>771</v>
      </c>
      <c r="BQ24" s="3345">
        <v>1058</v>
      </c>
      <c r="BR24" s="3345">
        <v>888</v>
      </c>
      <c r="BS24" s="3345">
        <v>976</v>
      </c>
      <c r="BT24" s="3346">
        <v>831</v>
      </c>
      <c r="BU24" s="3346">
        <v>1039</v>
      </c>
      <c r="BV24" s="3346">
        <v>1026</v>
      </c>
      <c r="BW24" s="3347">
        <v>1042</v>
      </c>
      <c r="BX24" s="3348">
        <v>750</v>
      </c>
      <c r="BY24" s="3273">
        <v>510</v>
      </c>
      <c r="BZ24" s="3273">
        <v>450</v>
      </c>
      <c r="CA24" s="3273">
        <v>871</v>
      </c>
      <c r="CB24" s="3273">
        <v>931</v>
      </c>
      <c r="CC24" s="3273">
        <v>942</v>
      </c>
      <c r="CD24" s="3273">
        <v>982</v>
      </c>
      <c r="CE24" s="3273">
        <v>1290</v>
      </c>
      <c r="CF24" s="3273">
        <v>1267</v>
      </c>
      <c r="CG24" s="3273">
        <v>1309</v>
      </c>
      <c r="CH24" s="3273">
        <v>1575</v>
      </c>
      <c r="CI24" s="3275">
        <v>1856</v>
      </c>
      <c r="CJ24" s="3349">
        <v>893</v>
      </c>
      <c r="CK24" s="3350">
        <v>801</v>
      </c>
      <c r="CL24" s="3350">
        <v>871</v>
      </c>
      <c r="CM24" s="3350">
        <v>1883</v>
      </c>
      <c r="CN24" s="3350">
        <v>2034</v>
      </c>
      <c r="CO24" s="3350">
        <v>2126</v>
      </c>
      <c r="CP24" s="3350">
        <v>2458</v>
      </c>
      <c r="CQ24" s="3350">
        <v>2398</v>
      </c>
      <c r="CR24" s="3350">
        <v>2644</v>
      </c>
      <c r="CS24" s="3350">
        <v>3590</v>
      </c>
      <c r="CT24" s="3350">
        <v>3991</v>
      </c>
      <c r="CU24" s="3351">
        <v>4790</v>
      </c>
      <c r="CV24" s="3349">
        <v>3360</v>
      </c>
      <c r="CW24" s="3350">
        <v>3179</v>
      </c>
      <c r="CX24" s="3272">
        <v>4515</v>
      </c>
      <c r="CY24" s="3272">
        <v>4321</v>
      </c>
      <c r="CZ24" s="3272">
        <v>4182</v>
      </c>
      <c r="DA24" s="3272">
        <v>4631</v>
      </c>
      <c r="DB24" s="3272">
        <v>4067</v>
      </c>
      <c r="DC24" s="3272">
        <v>3726</v>
      </c>
      <c r="DD24" s="3272">
        <v>5741</v>
      </c>
      <c r="DE24" s="3272">
        <v>5804</v>
      </c>
      <c r="DF24" s="3272">
        <v>9307</v>
      </c>
      <c r="DG24" s="3351">
        <v>5009</v>
      </c>
      <c r="DH24" s="3352">
        <v>1225</v>
      </c>
      <c r="DI24" s="3353">
        <v>2019</v>
      </c>
      <c r="DJ24" s="3353">
        <v>907</v>
      </c>
      <c r="DK24" s="3354">
        <v>278</v>
      </c>
      <c r="DL24" s="3354">
        <v>325</v>
      </c>
      <c r="DM24" s="3354">
        <v>306</v>
      </c>
      <c r="DN24" s="3354">
        <v>246</v>
      </c>
      <c r="DO24" s="3354">
        <v>246</v>
      </c>
      <c r="DP24" s="2556">
        <v>765</v>
      </c>
      <c r="DQ24" s="3354">
        <v>506</v>
      </c>
      <c r="DR24" s="3354">
        <v>429</v>
      </c>
      <c r="DS24" s="3355">
        <v>379</v>
      </c>
      <c r="DT24" s="3356">
        <v>338</v>
      </c>
      <c r="DU24" s="3243">
        <v>315</v>
      </c>
      <c r="DV24" s="3243">
        <v>296</v>
      </c>
      <c r="DW24" s="3164">
        <v>264</v>
      </c>
      <c r="DX24" s="3164">
        <v>350</v>
      </c>
      <c r="DY24" s="3164">
        <v>296</v>
      </c>
      <c r="DZ24" s="3164">
        <v>339</v>
      </c>
      <c r="EA24" s="3164">
        <v>273</v>
      </c>
      <c r="EB24" s="3164">
        <v>322</v>
      </c>
      <c r="EC24" s="3164">
        <v>328</v>
      </c>
      <c r="ED24" s="3164">
        <v>362</v>
      </c>
      <c r="EE24" s="3163">
        <v>330</v>
      </c>
      <c r="EF24" s="2532">
        <v>267</v>
      </c>
      <c r="EG24" s="2531">
        <v>279</v>
      </c>
      <c r="EH24" s="2531">
        <v>283</v>
      </c>
      <c r="EI24" s="2531">
        <v>288</v>
      </c>
      <c r="EJ24" s="2531">
        <v>317</v>
      </c>
      <c r="EK24" s="2531">
        <v>290</v>
      </c>
      <c r="EL24" s="2531">
        <v>325</v>
      </c>
      <c r="EM24" s="2557">
        <v>300</v>
      </c>
      <c r="EN24" s="2557">
        <v>287</v>
      </c>
      <c r="EO24" s="2558">
        <v>320</v>
      </c>
      <c r="EP24" s="2558">
        <v>345</v>
      </c>
      <c r="EQ24" s="2559">
        <v>273</v>
      </c>
      <c r="ER24" s="1323">
        <v>305</v>
      </c>
      <c r="ES24" s="3357">
        <v>219</v>
      </c>
      <c r="ET24" s="3357">
        <v>261</v>
      </c>
      <c r="EU24" s="2560">
        <v>226</v>
      </c>
      <c r="EV24" s="2107">
        <v>800</v>
      </c>
      <c r="EW24" s="2107">
        <v>686</v>
      </c>
      <c r="EX24" s="2107">
        <v>764</v>
      </c>
      <c r="EY24" s="2107">
        <v>1134</v>
      </c>
      <c r="EZ24" s="2107">
        <v>1157</v>
      </c>
      <c r="FA24" s="2275">
        <v>725</v>
      </c>
      <c r="FB24" s="2275">
        <v>701</v>
      </c>
      <c r="FC24" s="2275">
        <v>596</v>
      </c>
      <c r="FD24" s="2615">
        <v>1012</v>
      </c>
      <c r="FE24" s="2616">
        <v>617</v>
      </c>
      <c r="FF24" s="2616">
        <v>416</v>
      </c>
      <c r="FG24" s="2616">
        <v>2</v>
      </c>
      <c r="FH24" s="2616">
        <v>97</v>
      </c>
      <c r="FI24" s="2616">
        <v>140</v>
      </c>
      <c r="FJ24" s="2616">
        <v>9</v>
      </c>
      <c r="FK24" s="2616">
        <v>130</v>
      </c>
      <c r="FL24" s="2616">
        <v>66</v>
      </c>
      <c r="FM24" s="2616">
        <v>16</v>
      </c>
      <c r="FN24" s="2616">
        <v>126</v>
      </c>
      <c r="FO24" s="2617">
        <v>371</v>
      </c>
      <c r="FP24" s="2615">
        <v>390</v>
      </c>
      <c r="FQ24" s="2616">
        <v>133</v>
      </c>
      <c r="FR24" s="2616">
        <v>87</v>
      </c>
      <c r="FS24" s="2616">
        <v>231</v>
      </c>
      <c r="FT24" s="2616">
        <v>86</v>
      </c>
      <c r="FU24" s="2616">
        <v>136</v>
      </c>
      <c r="FV24" s="2616">
        <v>157</v>
      </c>
      <c r="FW24" s="2616">
        <v>209</v>
      </c>
      <c r="FX24" s="2616">
        <v>143</v>
      </c>
      <c r="FY24" s="2616">
        <v>177</v>
      </c>
      <c r="FZ24" s="2616">
        <v>298</v>
      </c>
      <c r="GA24" s="2617">
        <v>455</v>
      </c>
      <c r="GB24" s="4659">
        <v>450</v>
      </c>
      <c r="GC24" s="4660">
        <v>483</v>
      </c>
      <c r="GD24" s="4660">
        <v>312</v>
      </c>
      <c r="GE24" s="4660">
        <v>181</v>
      </c>
      <c r="GF24" s="4660">
        <v>439</v>
      </c>
      <c r="GG24" s="4660"/>
      <c r="GH24" s="4660"/>
      <c r="GI24" s="4660"/>
      <c r="GJ24" s="4660"/>
      <c r="GK24" s="4660"/>
      <c r="GL24" s="4660"/>
      <c r="GM24" s="4661"/>
      <c r="GN24" s="2607"/>
      <c r="GO24" s="2754">
        <v>347</v>
      </c>
      <c r="GP24" s="2755">
        <v>376</v>
      </c>
      <c r="GQ24" s="2755">
        <v>503</v>
      </c>
      <c r="GR24" s="2756">
        <v>744</v>
      </c>
      <c r="GS24" s="2757">
        <v>994</v>
      </c>
      <c r="GT24" s="2758">
        <v>1068</v>
      </c>
      <c r="GU24" s="2758">
        <v>1766</v>
      </c>
      <c r="GV24" s="2759">
        <v>2308</v>
      </c>
      <c r="GW24" s="2760">
        <v>3660</v>
      </c>
      <c r="GX24" s="2761">
        <v>4624.5</v>
      </c>
      <c r="GY24" s="2762">
        <v>4337</v>
      </c>
      <c r="GZ24" s="2762">
        <v>4103</v>
      </c>
      <c r="HA24" s="2763">
        <v>4422</v>
      </c>
      <c r="HB24" s="2764">
        <v>3546</v>
      </c>
      <c r="HC24" s="2764">
        <v>3028</v>
      </c>
      <c r="HD24" s="2765">
        <v>3474</v>
      </c>
      <c r="HE24" s="2766">
        <v>2702</v>
      </c>
      <c r="HF24" s="2767">
        <v>2542</v>
      </c>
      <c r="HG24" s="2767">
        <v>2315</v>
      </c>
      <c r="HH24" s="2768">
        <v>2331</v>
      </c>
      <c r="HI24" s="2764">
        <v>1545</v>
      </c>
      <c r="HJ24" s="2764">
        <v>2724</v>
      </c>
      <c r="HK24" s="2764">
        <v>2695</v>
      </c>
      <c r="HL24" s="2764">
        <v>3107</v>
      </c>
      <c r="HM24" s="2769">
        <v>1710</v>
      </c>
      <c r="HN24" s="2769">
        <v>2744</v>
      </c>
      <c r="HO24" s="2769">
        <v>3539</v>
      </c>
      <c r="HP24" s="2769">
        <v>4740</v>
      </c>
      <c r="HQ24" s="2770">
        <v>2565</v>
      </c>
      <c r="HR24" s="2770">
        <v>6043</v>
      </c>
      <c r="HS24" s="2770">
        <f t="shared" si="1"/>
        <v>7500</v>
      </c>
      <c r="HT24" s="2770">
        <v>12371</v>
      </c>
      <c r="HU24" s="2771">
        <v>11054</v>
      </c>
      <c r="HV24" s="2771">
        <f t="shared" si="2"/>
        <v>13134</v>
      </c>
      <c r="HW24" s="2771">
        <f t="shared" si="3"/>
        <v>13534</v>
      </c>
      <c r="HX24" s="2770">
        <f t="shared" si="4"/>
        <v>20120</v>
      </c>
      <c r="HY24" s="2689">
        <f t="shared" si="5"/>
        <v>4151</v>
      </c>
      <c r="HZ24" s="2689">
        <f t="shared" si="6"/>
        <v>909</v>
      </c>
      <c r="IA24" s="2689">
        <f t="shared" si="7"/>
        <v>871</v>
      </c>
      <c r="IB24" s="2689">
        <f t="shared" si="8"/>
        <v>1314</v>
      </c>
      <c r="IC24" s="2764">
        <f t="shared" si="9"/>
        <v>949</v>
      </c>
      <c r="ID24" s="2764">
        <f t="shared" si="10"/>
        <v>910</v>
      </c>
      <c r="IE24" s="2764">
        <f t="shared" si="11"/>
        <v>934</v>
      </c>
      <c r="IF24" s="2764">
        <f t="shared" si="12"/>
        <v>1020</v>
      </c>
      <c r="IG24" s="2772">
        <f t="shared" si="13"/>
        <v>829</v>
      </c>
      <c r="IH24" s="2769">
        <f t="shared" si="14"/>
        <v>895</v>
      </c>
      <c r="II24" s="2769">
        <f t="shared" si="15"/>
        <v>912</v>
      </c>
      <c r="IJ24" s="2769">
        <f t="shared" si="16"/>
        <v>938</v>
      </c>
      <c r="IK24" s="2773">
        <f t="shared" si="17"/>
        <v>785</v>
      </c>
      <c r="IL24" s="2774">
        <f t="shared" si="18"/>
        <v>1712</v>
      </c>
      <c r="IM24" s="2774">
        <f t="shared" si="19"/>
        <v>3055</v>
      </c>
      <c r="IN24" s="2774">
        <f t="shared" si="20"/>
        <v>2022</v>
      </c>
      <c r="IO24" s="2775">
        <f t="shared" si="21"/>
        <v>2045</v>
      </c>
      <c r="IP24" s="2776">
        <f t="shared" si="22"/>
        <v>239</v>
      </c>
      <c r="IQ24" s="2776">
        <f>FJ24+FK24+FL24</f>
        <v>205</v>
      </c>
      <c r="IR24" s="2777">
        <f t="shared" si="24"/>
        <v>513</v>
      </c>
      <c r="IS24" s="2772">
        <f t="shared" si="25"/>
        <v>610</v>
      </c>
      <c r="IT24" s="2769">
        <f t="shared" si="26"/>
        <v>453</v>
      </c>
      <c r="IU24" s="2769">
        <f t="shared" si="27"/>
        <v>509</v>
      </c>
      <c r="IV24" s="2769">
        <f t="shared" si="28"/>
        <v>930</v>
      </c>
      <c r="IW24" s="3961">
        <f t="shared" si="46"/>
        <v>1245</v>
      </c>
      <c r="IX24" s="3953">
        <f t="shared" si="47"/>
        <v>620</v>
      </c>
      <c r="IY24" s="3953">
        <f t="shared" si="48"/>
        <v>0</v>
      </c>
      <c r="IZ24" s="3962">
        <f t="shared" si="49"/>
        <v>0</v>
      </c>
      <c r="JA24" s="3957"/>
      <c r="JB24" s="3358">
        <v>1970</v>
      </c>
      <c r="JC24" s="3359">
        <v>6136</v>
      </c>
      <c r="JD24" s="3359">
        <v>16724.5</v>
      </c>
      <c r="JE24" s="3359">
        <v>14470</v>
      </c>
      <c r="JF24" s="3359">
        <v>9890</v>
      </c>
      <c r="JG24" s="3359">
        <v>10071</v>
      </c>
      <c r="JH24" s="3360">
        <v>12733</v>
      </c>
      <c r="JI24" s="3361">
        <v>28479</v>
      </c>
      <c r="JJ24" s="3361">
        <f t="shared" si="29"/>
        <v>57842</v>
      </c>
      <c r="JK24" s="3361">
        <f t="shared" si="30"/>
        <v>7631</v>
      </c>
      <c r="JL24" s="3361">
        <f t="shared" si="31"/>
        <v>3813</v>
      </c>
      <c r="JM24" s="3361">
        <f t="shared" si="32"/>
        <v>3574</v>
      </c>
      <c r="JN24" s="3362">
        <f t="shared" si="0"/>
        <v>7574</v>
      </c>
      <c r="JO24" s="3380">
        <f t="shared" si="33"/>
        <v>3002</v>
      </c>
      <c r="JP24" s="3378">
        <f t="shared" si="50"/>
        <v>2502</v>
      </c>
      <c r="JQ24" s="3377">
        <f t="shared" si="51"/>
        <v>3440</v>
      </c>
      <c r="JS24" s="4673">
        <f t="shared" si="52"/>
        <v>523</v>
      </c>
      <c r="JT24" s="3579">
        <f t="shared" si="53"/>
        <v>1865</v>
      </c>
      <c r="JU24" s="2525"/>
      <c r="JV24" s="3365">
        <f t="shared" si="54"/>
        <v>2981.3333333333335</v>
      </c>
      <c r="JW24" s="3366">
        <f t="shared" si="34"/>
        <v>1.215851478428236E-2</v>
      </c>
      <c r="JX24" s="3366">
        <f t="shared" si="35"/>
        <v>5.839820746755783E-3</v>
      </c>
      <c r="JY24" s="3366">
        <f t="shared" si="55"/>
        <v>5.2023289665211062E-3</v>
      </c>
      <c r="JZ24" s="3366">
        <f t="shared" si="36"/>
        <v>1.1024745269286753E-2</v>
      </c>
      <c r="KA24" s="3366">
        <f t="shared" si="37"/>
        <v>1.5727570399476098E-2</v>
      </c>
      <c r="KB24" s="4688">
        <f t="shared" si="38"/>
        <v>8.9040413386667419E-3</v>
      </c>
      <c r="KC24" s="4691">
        <f t="shared" si="56"/>
        <v>7.1907707293824511E-3</v>
      </c>
      <c r="KD24" s="3366"/>
      <c r="KE24" s="3368">
        <f t="shared" si="39"/>
        <v>-0.50032761106014934</v>
      </c>
      <c r="KF24" s="3369">
        <f t="shared" si="40"/>
        <v>-0.60931289040317993</v>
      </c>
      <c r="KG24" s="3369">
        <f t="shared" si="41"/>
        <v>-6.268030422239701E-2</v>
      </c>
      <c r="KH24" s="3369">
        <f t="shared" si="42"/>
        <v>1.119194180190263</v>
      </c>
      <c r="KI24" s="3369">
        <f t="shared" si="43"/>
        <v>-0.60364404541853711</v>
      </c>
      <c r="KJ24" s="3368">
        <f t="shared" si="44"/>
        <v>-0.66965936097174539</v>
      </c>
      <c r="KK24" s="3369">
        <f t="shared" si="57"/>
        <v>-0.16655562958027981</v>
      </c>
      <c r="KL24" s="4678">
        <f t="shared" si="59"/>
        <v>-0.54581462899392652</v>
      </c>
      <c r="KM24" s="4678">
        <f t="shared" si="58"/>
        <v>0.37490007993605112</v>
      </c>
      <c r="KN24" s="3045"/>
      <c r="KO24" s="3045"/>
      <c r="KP24" s="3045"/>
      <c r="KQ24" s="3045"/>
      <c r="KR24" s="3045"/>
      <c r="KS24" s="3045"/>
      <c r="KT24" s="3045"/>
      <c r="KU24" s="3045"/>
      <c r="KV24" s="3045"/>
      <c r="KW24" s="3045"/>
      <c r="KX24" s="3045"/>
      <c r="KY24" s="3045"/>
      <c r="KZ24" s="3045"/>
      <c r="LA24" s="3045"/>
      <c r="LB24" s="3045"/>
      <c r="LC24" s="3045"/>
      <c r="LD24" s="3045"/>
      <c r="LE24" s="3045"/>
      <c r="LF24" s="3045"/>
      <c r="LG24" s="3045"/>
      <c r="LH24" s="3045"/>
      <c r="LI24" s="3045"/>
      <c r="LJ24" s="3045"/>
      <c r="LK24" s="2525"/>
      <c r="LL24" s="2525"/>
      <c r="LM24" s="2525"/>
      <c r="LN24" s="2525"/>
      <c r="LO24" s="2525"/>
      <c r="LP24" s="2525"/>
      <c r="LQ24" s="2525"/>
      <c r="LR24" s="2525"/>
    </row>
    <row r="25" spans="1:330" ht="21.9" customHeight="1">
      <c r="A25" s="3372"/>
      <c r="B25" s="3045"/>
      <c r="C25" s="3373" t="s">
        <v>49</v>
      </c>
      <c r="D25" s="3330">
        <v>1260</v>
      </c>
      <c r="E25" s="3331">
        <v>1276</v>
      </c>
      <c r="F25" s="3331">
        <v>1273</v>
      </c>
      <c r="G25" s="3331">
        <v>1609</v>
      </c>
      <c r="H25" s="3331">
        <v>1342</v>
      </c>
      <c r="I25" s="3331">
        <v>1217</v>
      </c>
      <c r="J25" s="3331">
        <v>2417</v>
      </c>
      <c r="K25" s="3331">
        <v>1711</v>
      </c>
      <c r="L25" s="3331">
        <v>1389</v>
      </c>
      <c r="M25" s="3331">
        <v>1689</v>
      </c>
      <c r="N25" s="3331">
        <v>1780</v>
      </c>
      <c r="O25" s="3332">
        <v>1105</v>
      </c>
      <c r="P25" s="3333">
        <v>1501</v>
      </c>
      <c r="Q25" s="3334">
        <v>2067</v>
      </c>
      <c r="R25" s="3334">
        <v>1748</v>
      </c>
      <c r="S25" s="3334">
        <v>1878</v>
      </c>
      <c r="T25" s="3334">
        <v>1744</v>
      </c>
      <c r="U25" s="3334">
        <v>1450</v>
      </c>
      <c r="V25" s="3334">
        <v>2185</v>
      </c>
      <c r="W25" s="3334">
        <v>1787</v>
      </c>
      <c r="X25" s="3334">
        <v>1529</v>
      </c>
      <c r="Y25" s="3334">
        <v>1653</v>
      </c>
      <c r="Z25" s="3334">
        <v>1668</v>
      </c>
      <c r="AA25" s="3335">
        <v>1114</v>
      </c>
      <c r="AB25" s="3336">
        <v>1499</v>
      </c>
      <c r="AC25" s="3337">
        <v>1325</v>
      </c>
      <c r="AD25" s="3337">
        <v>1263</v>
      </c>
      <c r="AE25" s="3337">
        <v>1502</v>
      </c>
      <c r="AF25" s="3337">
        <v>1439.5</v>
      </c>
      <c r="AG25" s="3337">
        <v>1377</v>
      </c>
      <c r="AH25" s="3337">
        <v>2221</v>
      </c>
      <c r="AI25" s="3337">
        <v>1438</v>
      </c>
      <c r="AJ25" s="3337">
        <v>1140</v>
      </c>
      <c r="AK25" s="3337">
        <v>1561</v>
      </c>
      <c r="AL25" s="3337">
        <v>1508</v>
      </c>
      <c r="AM25" s="3338">
        <v>1164</v>
      </c>
      <c r="AN25" s="3339">
        <v>1064</v>
      </c>
      <c r="AO25" s="3340">
        <v>994</v>
      </c>
      <c r="AP25" s="3340">
        <v>1080</v>
      </c>
      <c r="AQ25" s="3340">
        <v>1258</v>
      </c>
      <c r="AR25" s="3340">
        <v>1059</v>
      </c>
      <c r="AS25" s="3340">
        <v>1091</v>
      </c>
      <c r="AT25" s="3340">
        <v>2091</v>
      </c>
      <c r="AU25" s="3340">
        <v>1225</v>
      </c>
      <c r="AV25" s="3340">
        <v>975</v>
      </c>
      <c r="AW25" s="3340">
        <v>1230</v>
      </c>
      <c r="AX25" s="3340">
        <v>1152</v>
      </c>
      <c r="AY25" s="3341">
        <v>925</v>
      </c>
      <c r="AZ25" s="3277">
        <v>1025</v>
      </c>
      <c r="BA25" s="3277">
        <v>900</v>
      </c>
      <c r="BB25" s="3277">
        <v>988</v>
      </c>
      <c r="BC25" s="3277">
        <v>1272</v>
      </c>
      <c r="BD25" s="3277">
        <v>1126</v>
      </c>
      <c r="BE25" s="3277">
        <v>1015</v>
      </c>
      <c r="BF25" s="3277">
        <v>2074</v>
      </c>
      <c r="BG25" s="3277">
        <v>1207</v>
      </c>
      <c r="BH25" s="3277">
        <v>944</v>
      </c>
      <c r="BI25" s="3277">
        <v>1417</v>
      </c>
      <c r="BJ25" s="3277">
        <v>1382</v>
      </c>
      <c r="BK25" s="3374">
        <v>934</v>
      </c>
      <c r="BL25" s="3344">
        <v>898</v>
      </c>
      <c r="BM25" s="3345">
        <v>919</v>
      </c>
      <c r="BN25" s="3345">
        <v>1062</v>
      </c>
      <c r="BO25" s="3345">
        <v>1197</v>
      </c>
      <c r="BP25" s="3345">
        <v>1156</v>
      </c>
      <c r="BQ25" s="3345">
        <v>1051</v>
      </c>
      <c r="BR25" s="3345">
        <v>1995</v>
      </c>
      <c r="BS25" s="3345">
        <v>1140</v>
      </c>
      <c r="BT25" s="3346">
        <v>909</v>
      </c>
      <c r="BU25" s="3346">
        <v>1154</v>
      </c>
      <c r="BV25" s="3346">
        <v>1295</v>
      </c>
      <c r="BW25" s="3347">
        <v>1103</v>
      </c>
      <c r="BX25" s="3348">
        <v>1090</v>
      </c>
      <c r="BY25" s="3273">
        <v>977</v>
      </c>
      <c r="BZ25" s="3273">
        <v>1157</v>
      </c>
      <c r="CA25" s="3273">
        <v>1135</v>
      </c>
      <c r="CB25" s="3273">
        <v>1253</v>
      </c>
      <c r="CC25" s="3273">
        <v>1120</v>
      </c>
      <c r="CD25" s="3273">
        <v>2381</v>
      </c>
      <c r="CE25" s="3273">
        <v>1417</v>
      </c>
      <c r="CF25" s="3273">
        <v>1070</v>
      </c>
      <c r="CG25" s="3273">
        <v>1403</v>
      </c>
      <c r="CH25" s="3273">
        <v>1588</v>
      </c>
      <c r="CI25" s="3275">
        <v>935</v>
      </c>
      <c r="CJ25" s="3349">
        <v>1166</v>
      </c>
      <c r="CK25" s="3350">
        <v>1197</v>
      </c>
      <c r="CL25" s="3350">
        <v>1218</v>
      </c>
      <c r="CM25" s="3350">
        <v>1543</v>
      </c>
      <c r="CN25" s="3350">
        <v>1497</v>
      </c>
      <c r="CO25" s="3350">
        <v>1386</v>
      </c>
      <c r="CP25" s="3350">
        <v>2484</v>
      </c>
      <c r="CQ25" s="3350">
        <v>1411</v>
      </c>
      <c r="CR25" s="3350">
        <v>1179</v>
      </c>
      <c r="CS25" s="3350">
        <v>1580</v>
      </c>
      <c r="CT25" s="3350">
        <v>1532</v>
      </c>
      <c r="CU25" s="3351">
        <v>1130</v>
      </c>
      <c r="CV25" s="3349">
        <v>1217</v>
      </c>
      <c r="CW25" s="3350">
        <v>1190</v>
      </c>
      <c r="CX25" s="3272">
        <v>1225</v>
      </c>
      <c r="CY25" s="3272">
        <v>1363</v>
      </c>
      <c r="CZ25" s="3272">
        <v>1425</v>
      </c>
      <c r="DA25" s="3272">
        <v>1441</v>
      </c>
      <c r="DB25" s="3272">
        <v>2802</v>
      </c>
      <c r="DC25" s="3272">
        <v>1381</v>
      </c>
      <c r="DD25" s="3272">
        <v>1092</v>
      </c>
      <c r="DE25" s="3272">
        <v>1519</v>
      </c>
      <c r="DF25" s="3272">
        <v>1658</v>
      </c>
      <c r="DG25" s="3351">
        <v>1266</v>
      </c>
      <c r="DH25" s="3352">
        <v>1300</v>
      </c>
      <c r="DI25" s="3353">
        <v>1442</v>
      </c>
      <c r="DJ25" s="3353">
        <v>1528</v>
      </c>
      <c r="DK25" s="3354">
        <v>1307</v>
      </c>
      <c r="DL25" s="3354">
        <v>1382</v>
      </c>
      <c r="DM25" s="3354">
        <v>1465</v>
      </c>
      <c r="DN25" s="3354">
        <v>2920</v>
      </c>
      <c r="DO25" s="3354">
        <v>1383</v>
      </c>
      <c r="DP25" s="2556">
        <v>1079</v>
      </c>
      <c r="DQ25" s="3354">
        <v>1606</v>
      </c>
      <c r="DR25" s="3354">
        <v>1282</v>
      </c>
      <c r="DS25" s="3355">
        <v>964</v>
      </c>
      <c r="DT25" s="3356">
        <v>1117</v>
      </c>
      <c r="DU25" s="3243">
        <v>1160</v>
      </c>
      <c r="DV25" s="3243">
        <v>1175</v>
      </c>
      <c r="DW25" s="3164">
        <v>1542</v>
      </c>
      <c r="DX25" s="3164">
        <v>1184</v>
      </c>
      <c r="DY25" s="3164">
        <v>1335</v>
      </c>
      <c r="DZ25" s="3164">
        <v>2297</v>
      </c>
      <c r="EA25" s="3164">
        <v>1142</v>
      </c>
      <c r="EB25" s="3164">
        <v>1058</v>
      </c>
      <c r="EC25" s="3164">
        <v>1309</v>
      </c>
      <c r="ED25" s="3164">
        <v>1336</v>
      </c>
      <c r="EE25" s="3163">
        <v>1167</v>
      </c>
      <c r="EF25" s="2532">
        <v>1254</v>
      </c>
      <c r="EG25" s="2531">
        <v>1291</v>
      </c>
      <c r="EH25" s="2531">
        <v>1485</v>
      </c>
      <c r="EI25" s="2531">
        <v>1293</v>
      </c>
      <c r="EJ25" s="2531">
        <v>1573</v>
      </c>
      <c r="EK25" s="2531">
        <v>1297</v>
      </c>
      <c r="EL25" s="2531">
        <v>2452</v>
      </c>
      <c r="EM25" s="2557">
        <v>1513</v>
      </c>
      <c r="EN25" s="2557">
        <v>1089</v>
      </c>
      <c r="EO25" s="2558">
        <v>1329</v>
      </c>
      <c r="EP25" s="2558">
        <v>1462</v>
      </c>
      <c r="EQ25" s="2559">
        <v>1313</v>
      </c>
      <c r="ER25" s="1321">
        <v>1244</v>
      </c>
      <c r="ES25" s="3357">
        <v>1234</v>
      </c>
      <c r="ET25" s="3357">
        <v>1311</v>
      </c>
      <c r="EU25" s="2560">
        <v>1662</v>
      </c>
      <c r="EV25" s="2105">
        <v>1707</v>
      </c>
      <c r="EW25" s="2105">
        <v>1425</v>
      </c>
      <c r="EX25" s="2105">
        <v>2786</v>
      </c>
      <c r="EY25" s="2105">
        <v>1489</v>
      </c>
      <c r="EZ25" s="2105">
        <v>1465</v>
      </c>
      <c r="FA25" s="2275">
        <v>1380</v>
      </c>
      <c r="FB25" s="2275">
        <v>1705</v>
      </c>
      <c r="FC25" s="2275">
        <v>1455</v>
      </c>
      <c r="FD25" s="2608">
        <v>1574</v>
      </c>
      <c r="FE25" s="2609">
        <v>1589</v>
      </c>
      <c r="FF25" s="2609">
        <v>625</v>
      </c>
      <c r="FG25" s="2609">
        <v>10</v>
      </c>
      <c r="FH25" s="2609">
        <v>13</v>
      </c>
      <c r="FI25" s="2609">
        <v>43</v>
      </c>
      <c r="FJ25" s="2609">
        <v>111</v>
      </c>
      <c r="FK25" s="2609">
        <v>75</v>
      </c>
      <c r="FL25" s="2609">
        <v>83</v>
      </c>
      <c r="FM25" s="2609">
        <v>144</v>
      </c>
      <c r="FN25" s="2609">
        <v>168</v>
      </c>
      <c r="FO25" s="2610">
        <v>209</v>
      </c>
      <c r="FP25" s="2608">
        <v>123</v>
      </c>
      <c r="FQ25" s="2609">
        <v>83</v>
      </c>
      <c r="FR25" s="2609">
        <v>106</v>
      </c>
      <c r="FS25" s="2609">
        <v>88</v>
      </c>
      <c r="FT25" s="2609">
        <v>97</v>
      </c>
      <c r="FU25" s="2609">
        <v>135</v>
      </c>
      <c r="FV25" s="2609">
        <v>177</v>
      </c>
      <c r="FW25" s="2609">
        <v>177</v>
      </c>
      <c r="FX25" s="2609">
        <v>174</v>
      </c>
      <c r="FY25" s="2609">
        <v>204</v>
      </c>
      <c r="FZ25" s="2609">
        <v>377</v>
      </c>
      <c r="GA25" s="2610">
        <v>578</v>
      </c>
      <c r="GB25" s="4656">
        <v>592</v>
      </c>
      <c r="GC25" s="4657">
        <v>754</v>
      </c>
      <c r="GD25" s="4657">
        <v>1068</v>
      </c>
      <c r="GE25" s="4657">
        <v>1414</v>
      </c>
      <c r="GF25" s="4657">
        <v>1190</v>
      </c>
      <c r="GG25" s="4657"/>
      <c r="GH25" s="4657"/>
      <c r="GI25" s="4657"/>
      <c r="GJ25" s="4657"/>
      <c r="GK25" s="4657"/>
      <c r="GL25" s="4657"/>
      <c r="GM25" s="4658"/>
      <c r="GN25" s="2607"/>
      <c r="GO25" s="2754">
        <v>3809</v>
      </c>
      <c r="GP25" s="2755">
        <v>4168</v>
      </c>
      <c r="GQ25" s="2755">
        <v>5517</v>
      </c>
      <c r="GR25" s="2756">
        <v>4574</v>
      </c>
      <c r="GS25" s="2757">
        <v>5316</v>
      </c>
      <c r="GT25" s="2758">
        <v>5072</v>
      </c>
      <c r="GU25" s="2758">
        <v>5501</v>
      </c>
      <c r="GV25" s="2759">
        <v>4435</v>
      </c>
      <c r="GW25" s="2760">
        <v>4087</v>
      </c>
      <c r="GX25" s="2761">
        <v>4318.5</v>
      </c>
      <c r="GY25" s="2762">
        <v>4799</v>
      </c>
      <c r="GZ25" s="2762">
        <v>4233</v>
      </c>
      <c r="HA25" s="2763">
        <v>3138</v>
      </c>
      <c r="HB25" s="2764">
        <v>3408</v>
      </c>
      <c r="HC25" s="2764">
        <v>4291</v>
      </c>
      <c r="HD25" s="2765">
        <v>3307</v>
      </c>
      <c r="HE25" s="2766">
        <v>2913</v>
      </c>
      <c r="HF25" s="2767">
        <v>3413</v>
      </c>
      <c r="HG25" s="2767">
        <v>4225</v>
      </c>
      <c r="HH25" s="2768">
        <v>3733</v>
      </c>
      <c r="HI25" s="2764">
        <v>2879</v>
      </c>
      <c r="HJ25" s="2764">
        <v>3404</v>
      </c>
      <c r="HK25" s="2764">
        <v>4044</v>
      </c>
      <c r="HL25" s="2764">
        <v>3552</v>
      </c>
      <c r="HM25" s="2769">
        <v>3224</v>
      </c>
      <c r="HN25" s="2769">
        <v>3508</v>
      </c>
      <c r="HO25" s="2769">
        <v>4868</v>
      </c>
      <c r="HP25" s="2769">
        <v>3926</v>
      </c>
      <c r="HQ25" s="2770">
        <v>3581</v>
      </c>
      <c r="HR25" s="2770">
        <v>4426</v>
      </c>
      <c r="HS25" s="2770">
        <f t="shared" si="1"/>
        <v>5074</v>
      </c>
      <c r="HT25" s="2770">
        <v>4242</v>
      </c>
      <c r="HU25" s="2771">
        <v>3632</v>
      </c>
      <c r="HV25" s="2771">
        <f t="shared" si="2"/>
        <v>4229</v>
      </c>
      <c r="HW25" s="2771">
        <f t="shared" si="3"/>
        <v>5275</v>
      </c>
      <c r="HX25" s="2770">
        <f t="shared" si="4"/>
        <v>4443</v>
      </c>
      <c r="HY25" s="2689">
        <f t="shared" si="5"/>
        <v>4270</v>
      </c>
      <c r="HZ25" s="2689">
        <f t="shared" si="6"/>
        <v>4154</v>
      </c>
      <c r="IA25" s="2689">
        <f t="shared" si="7"/>
        <v>5267</v>
      </c>
      <c r="IB25" s="2689">
        <f t="shared" si="8"/>
        <v>3852</v>
      </c>
      <c r="IC25" s="2764">
        <f t="shared" si="9"/>
        <v>3452</v>
      </c>
      <c r="ID25" s="2764">
        <f t="shared" si="10"/>
        <v>4061</v>
      </c>
      <c r="IE25" s="2764">
        <f t="shared" si="11"/>
        <v>4497</v>
      </c>
      <c r="IF25" s="2764">
        <f t="shared" si="12"/>
        <v>3812</v>
      </c>
      <c r="IG25" s="2772">
        <f t="shared" si="13"/>
        <v>4030</v>
      </c>
      <c r="IH25" s="2769">
        <f t="shared" si="14"/>
        <v>4163</v>
      </c>
      <c r="II25" s="2769">
        <f t="shared" si="15"/>
        <v>5054</v>
      </c>
      <c r="IJ25" s="2769">
        <f t="shared" si="16"/>
        <v>4104</v>
      </c>
      <c r="IK25" s="2773">
        <f t="shared" si="17"/>
        <v>3789</v>
      </c>
      <c r="IL25" s="2774">
        <f t="shared" si="18"/>
        <v>4794</v>
      </c>
      <c r="IM25" s="2774">
        <f t="shared" si="19"/>
        <v>5740</v>
      </c>
      <c r="IN25" s="2774">
        <f t="shared" si="20"/>
        <v>4540</v>
      </c>
      <c r="IO25" s="2775">
        <f t="shared" si="21"/>
        <v>3788</v>
      </c>
      <c r="IP25" s="2776">
        <f t="shared" si="22"/>
        <v>66</v>
      </c>
      <c r="IQ25" s="2776">
        <f>EX25+EY25+EZ25</f>
        <v>5740</v>
      </c>
      <c r="IR25" s="2777">
        <f t="shared" si="24"/>
        <v>521</v>
      </c>
      <c r="IS25" s="2772">
        <f t="shared" si="25"/>
        <v>312</v>
      </c>
      <c r="IT25" s="2769">
        <f t="shared" si="26"/>
        <v>320</v>
      </c>
      <c r="IU25" s="2769">
        <f t="shared" si="27"/>
        <v>528</v>
      </c>
      <c r="IV25" s="2769">
        <f t="shared" si="28"/>
        <v>1159</v>
      </c>
      <c r="IW25" s="3976">
        <f t="shared" si="46"/>
        <v>2414</v>
      </c>
      <c r="IX25" s="2764">
        <f t="shared" si="47"/>
        <v>2604</v>
      </c>
      <c r="IY25" s="2764">
        <f t="shared" si="48"/>
        <v>0</v>
      </c>
      <c r="IZ25" s="3977">
        <f t="shared" si="49"/>
        <v>0</v>
      </c>
      <c r="JA25" s="3957"/>
      <c r="JB25" s="3358">
        <v>18068</v>
      </c>
      <c r="JC25" s="3359">
        <v>20324</v>
      </c>
      <c r="JD25" s="3359">
        <v>17437.5</v>
      </c>
      <c r="JE25" s="3359">
        <v>14144</v>
      </c>
      <c r="JF25" s="3359">
        <v>14284</v>
      </c>
      <c r="JG25" s="3359">
        <v>13879</v>
      </c>
      <c r="JH25" s="3360">
        <v>15526</v>
      </c>
      <c r="JI25" s="3361">
        <v>17323</v>
      </c>
      <c r="JJ25" s="3361">
        <f t="shared" si="29"/>
        <v>17579</v>
      </c>
      <c r="JK25" s="3361">
        <f t="shared" si="30"/>
        <v>17658</v>
      </c>
      <c r="JL25" s="3361">
        <f t="shared" si="31"/>
        <v>15822</v>
      </c>
      <c r="JM25" s="3361">
        <f t="shared" si="32"/>
        <v>17351</v>
      </c>
      <c r="JN25" s="3362">
        <f t="shared" si="0"/>
        <v>18863</v>
      </c>
      <c r="JO25" s="3380">
        <f t="shared" si="33"/>
        <v>4644</v>
      </c>
      <c r="JP25" s="3378">
        <f t="shared" si="50"/>
        <v>2319</v>
      </c>
      <c r="JQ25" s="3377">
        <f t="shared" si="51"/>
        <v>6840</v>
      </c>
      <c r="JS25" s="4673">
        <f t="shared" si="52"/>
        <v>206</v>
      </c>
      <c r="JT25" s="3579">
        <f t="shared" si="53"/>
        <v>5018</v>
      </c>
      <c r="JU25" s="2525"/>
      <c r="JV25" s="3365">
        <f t="shared" si="54"/>
        <v>4601</v>
      </c>
      <c r="JW25" s="3366">
        <f t="shared" si="34"/>
        <v>2.8134589707883358E-2</v>
      </c>
      <c r="JX25" s="3366">
        <f t="shared" si="35"/>
        <v>2.4232269566003144E-2</v>
      </c>
      <c r="JY25" s="3366">
        <f t="shared" si="55"/>
        <v>2.525618631732169E-2</v>
      </c>
      <c r="JZ25" s="3366">
        <f t="shared" si="36"/>
        <v>2.7457059679767103E-2</v>
      </c>
      <c r="KA25" s="3366">
        <f t="shared" si="37"/>
        <v>2.4330058939096268E-2</v>
      </c>
      <c r="KB25" s="4688">
        <f t="shared" si="38"/>
        <v>8.2527865165340428E-3</v>
      </c>
      <c r="KC25" s="4691">
        <f t="shared" si="56"/>
        <v>1.4297927845632547E-2</v>
      </c>
      <c r="KD25" s="3366"/>
      <c r="KE25" s="3368">
        <f t="shared" si="39"/>
        <v>-0.10397553516819569</v>
      </c>
      <c r="KF25" s="3369">
        <f t="shared" si="40"/>
        <v>-0.73943821497338313</v>
      </c>
      <c r="KG25" s="3369">
        <f t="shared" si="41"/>
        <v>9.6637593224623952E-2</v>
      </c>
      <c r="KH25" s="3369">
        <f t="shared" si="42"/>
        <v>8.714195147253756E-2</v>
      </c>
      <c r="KI25" s="3369">
        <f t="shared" si="43"/>
        <v>-0.75380374277686479</v>
      </c>
      <c r="KJ25" s="3368">
        <f t="shared" si="44"/>
        <v>-0.87706091289826649</v>
      </c>
      <c r="KK25" s="3369">
        <f t="shared" si="57"/>
        <v>-0.50064599483204142</v>
      </c>
      <c r="KL25" s="4678">
        <f t="shared" si="59"/>
        <v>-0.63738535757832793</v>
      </c>
      <c r="KM25" s="4678">
        <f t="shared" si="58"/>
        <v>1.9495472186287195</v>
      </c>
      <c r="KN25" s="3045"/>
      <c r="KO25" s="3045"/>
      <c r="KP25" s="3045"/>
      <c r="KQ25" s="3045"/>
      <c r="KR25" s="3045"/>
      <c r="KS25" s="3045"/>
      <c r="KT25" s="3045"/>
      <c r="KU25" s="3045"/>
      <c r="KV25" s="3045"/>
      <c r="KW25" s="3045"/>
      <c r="KX25" s="3045"/>
      <c r="KY25" s="3045"/>
      <c r="KZ25" s="3045"/>
      <c r="LA25" s="3045"/>
      <c r="LB25" s="3045"/>
      <c r="LC25" s="3045"/>
      <c r="LD25" s="3045"/>
      <c r="LE25" s="3045"/>
      <c r="LF25" s="3045"/>
      <c r="LG25" s="3045"/>
      <c r="LH25" s="3045"/>
      <c r="LI25" s="3045"/>
      <c r="LJ25" s="3045"/>
      <c r="LK25" s="2525"/>
      <c r="LL25" s="2525"/>
      <c r="LM25" s="2525"/>
      <c r="LN25" s="2525"/>
      <c r="LO25" s="2525"/>
      <c r="LP25" s="2525"/>
      <c r="LQ25" s="2525"/>
      <c r="LR25" s="2525"/>
    </row>
    <row r="26" spans="1:330" ht="21.9" customHeight="1">
      <c r="A26" s="3382"/>
      <c r="B26" s="3045"/>
      <c r="C26" s="3381" t="s">
        <v>25</v>
      </c>
      <c r="D26" s="3330">
        <v>191</v>
      </c>
      <c r="E26" s="3331">
        <v>147</v>
      </c>
      <c r="F26" s="3331">
        <v>184</v>
      </c>
      <c r="G26" s="3331">
        <v>164</v>
      </c>
      <c r="H26" s="3331">
        <v>171</v>
      </c>
      <c r="I26" s="3331">
        <v>315</v>
      </c>
      <c r="J26" s="3331">
        <v>438</v>
      </c>
      <c r="K26" s="3331">
        <v>326</v>
      </c>
      <c r="L26" s="3331">
        <v>276</v>
      </c>
      <c r="M26" s="3331">
        <v>312</v>
      </c>
      <c r="N26" s="3331">
        <v>240</v>
      </c>
      <c r="O26" s="3332">
        <v>141</v>
      </c>
      <c r="P26" s="3333">
        <v>227</v>
      </c>
      <c r="Q26" s="3334">
        <v>309</v>
      </c>
      <c r="R26" s="3334">
        <v>244</v>
      </c>
      <c r="S26" s="3334">
        <v>211</v>
      </c>
      <c r="T26" s="3334">
        <v>218</v>
      </c>
      <c r="U26" s="3334">
        <v>331</v>
      </c>
      <c r="V26" s="3334">
        <v>626</v>
      </c>
      <c r="W26" s="3334">
        <v>308</v>
      </c>
      <c r="X26" s="3334">
        <v>265</v>
      </c>
      <c r="Y26" s="3334">
        <v>268</v>
      </c>
      <c r="Z26" s="3334">
        <v>267</v>
      </c>
      <c r="AA26" s="3335">
        <v>167</v>
      </c>
      <c r="AB26" s="3336">
        <v>197</v>
      </c>
      <c r="AC26" s="3337">
        <v>192</v>
      </c>
      <c r="AD26" s="3337">
        <v>173</v>
      </c>
      <c r="AE26" s="3337">
        <v>357</v>
      </c>
      <c r="AF26" s="3337">
        <v>355</v>
      </c>
      <c r="AG26" s="3337">
        <v>353</v>
      </c>
      <c r="AH26" s="3337">
        <v>540</v>
      </c>
      <c r="AI26" s="3337">
        <v>350</v>
      </c>
      <c r="AJ26" s="3337">
        <v>282</v>
      </c>
      <c r="AK26" s="3337">
        <v>316</v>
      </c>
      <c r="AL26" s="3337">
        <v>221</v>
      </c>
      <c r="AM26" s="3338">
        <v>212</v>
      </c>
      <c r="AN26" s="3339">
        <v>233</v>
      </c>
      <c r="AO26" s="3340">
        <v>194</v>
      </c>
      <c r="AP26" s="3340">
        <v>155</v>
      </c>
      <c r="AQ26" s="3340">
        <v>196</v>
      </c>
      <c r="AR26" s="3340">
        <v>171</v>
      </c>
      <c r="AS26" s="3340">
        <v>316</v>
      </c>
      <c r="AT26" s="3340">
        <v>607</v>
      </c>
      <c r="AU26" s="3340">
        <v>289</v>
      </c>
      <c r="AV26" s="3340">
        <v>282</v>
      </c>
      <c r="AW26" s="3340">
        <v>216</v>
      </c>
      <c r="AX26" s="3340">
        <v>267</v>
      </c>
      <c r="AY26" s="3341">
        <v>190</v>
      </c>
      <c r="AZ26" s="3277">
        <v>184</v>
      </c>
      <c r="BA26" s="3277">
        <v>211</v>
      </c>
      <c r="BB26" s="3277">
        <v>169</v>
      </c>
      <c r="BC26" s="3277">
        <v>205</v>
      </c>
      <c r="BD26" s="3277">
        <v>200</v>
      </c>
      <c r="BE26" s="3277">
        <v>313</v>
      </c>
      <c r="BF26" s="3277">
        <v>620</v>
      </c>
      <c r="BG26" s="3277">
        <v>258</v>
      </c>
      <c r="BH26" s="3277">
        <v>275</v>
      </c>
      <c r="BI26" s="3277">
        <v>302</v>
      </c>
      <c r="BJ26" s="3277">
        <v>305</v>
      </c>
      <c r="BK26" s="3374">
        <v>214</v>
      </c>
      <c r="BL26" s="3344">
        <v>196</v>
      </c>
      <c r="BM26" s="3345">
        <v>218</v>
      </c>
      <c r="BN26" s="3345">
        <v>222</v>
      </c>
      <c r="BO26" s="3345">
        <v>155</v>
      </c>
      <c r="BP26" s="3345">
        <v>206</v>
      </c>
      <c r="BQ26" s="3345">
        <v>450</v>
      </c>
      <c r="BR26" s="3345">
        <v>575</v>
      </c>
      <c r="BS26" s="3345">
        <v>291</v>
      </c>
      <c r="BT26" s="3346">
        <v>229</v>
      </c>
      <c r="BU26" s="3346">
        <v>271</v>
      </c>
      <c r="BV26" s="3346">
        <v>261</v>
      </c>
      <c r="BW26" s="3347">
        <v>255</v>
      </c>
      <c r="BX26" s="3348">
        <v>204</v>
      </c>
      <c r="BY26" s="3273">
        <v>192</v>
      </c>
      <c r="BZ26" s="3273">
        <v>280</v>
      </c>
      <c r="CA26" s="3273">
        <v>160</v>
      </c>
      <c r="CB26" s="3273">
        <v>223</v>
      </c>
      <c r="CC26" s="3273">
        <v>404</v>
      </c>
      <c r="CD26" s="3273">
        <v>597</v>
      </c>
      <c r="CE26" s="3273">
        <v>307</v>
      </c>
      <c r="CF26" s="3273">
        <v>259</v>
      </c>
      <c r="CG26" s="3273">
        <v>272</v>
      </c>
      <c r="CH26" s="3273">
        <v>263</v>
      </c>
      <c r="CI26" s="3275">
        <v>290</v>
      </c>
      <c r="CJ26" s="3349">
        <v>251</v>
      </c>
      <c r="CK26" s="3350">
        <v>233</v>
      </c>
      <c r="CL26" s="3350">
        <v>238</v>
      </c>
      <c r="CM26" s="3350">
        <v>277</v>
      </c>
      <c r="CN26" s="3350">
        <v>207</v>
      </c>
      <c r="CO26" s="3350">
        <v>470</v>
      </c>
      <c r="CP26" s="3350">
        <v>549</v>
      </c>
      <c r="CQ26" s="3350">
        <v>239</v>
      </c>
      <c r="CR26" s="3350">
        <v>269</v>
      </c>
      <c r="CS26" s="3350">
        <v>283</v>
      </c>
      <c r="CT26" s="3350">
        <v>246</v>
      </c>
      <c r="CU26" s="3351">
        <v>254</v>
      </c>
      <c r="CV26" s="3349">
        <v>241</v>
      </c>
      <c r="CW26" s="3350">
        <v>223</v>
      </c>
      <c r="CX26" s="3272">
        <v>216</v>
      </c>
      <c r="CY26" s="3272">
        <v>246</v>
      </c>
      <c r="CZ26" s="3272">
        <v>178</v>
      </c>
      <c r="DA26" s="3272">
        <v>422</v>
      </c>
      <c r="DB26" s="3272">
        <v>543</v>
      </c>
      <c r="DC26" s="3272">
        <v>270</v>
      </c>
      <c r="DD26" s="3272">
        <v>258</v>
      </c>
      <c r="DE26" s="3272">
        <v>297</v>
      </c>
      <c r="DF26" s="3272">
        <v>250</v>
      </c>
      <c r="DG26" s="3351">
        <v>227</v>
      </c>
      <c r="DH26" s="3352">
        <v>280</v>
      </c>
      <c r="DI26" s="3353">
        <v>197</v>
      </c>
      <c r="DJ26" s="3353">
        <v>236</v>
      </c>
      <c r="DK26" s="3354">
        <v>158</v>
      </c>
      <c r="DL26" s="3354">
        <v>178</v>
      </c>
      <c r="DM26" s="3354">
        <v>492</v>
      </c>
      <c r="DN26" s="3354">
        <v>634</v>
      </c>
      <c r="DO26" s="3354">
        <v>279</v>
      </c>
      <c r="DP26" s="2556">
        <v>280</v>
      </c>
      <c r="DQ26" s="3354">
        <v>301</v>
      </c>
      <c r="DR26" s="3354">
        <v>213</v>
      </c>
      <c r="DS26" s="3355">
        <v>198</v>
      </c>
      <c r="DT26" s="3356">
        <v>219</v>
      </c>
      <c r="DU26" s="3243">
        <v>171</v>
      </c>
      <c r="DV26" s="3243">
        <v>217</v>
      </c>
      <c r="DW26" s="3164">
        <v>219</v>
      </c>
      <c r="DX26" s="3164">
        <v>146</v>
      </c>
      <c r="DY26" s="3164">
        <v>398</v>
      </c>
      <c r="DZ26" s="3164">
        <v>590</v>
      </c>
      <c r="EA26" s="3164">
        <v>340</v>
      </c>
      <c r="EB26" s="3164">
        <v>296</v>
      </c>
      <c r="EC26" s="3164">
        <v>261</v>
      </c>
      <c r="ED26" s="3164">
        <v>257</v>
      </c>
      <c r="EE26" s="3163">
        <v>209</v>
      </c>
      <c r="EF26" s="2532">
        <v>187</v>
      </c>
      <c r="EG26" s="2531">
        <v>221</v>
      </c>
      <c r="EH26" s="2531">
        <v>298</v>
      </c>
      <c r="EI26" s="2531">
        <v>220</v>
      </c>
      <c r="EJ26" s="2531">
        <v>271</v>
      </c>
      <c r="EK26" s="2531">
        <v>384</v>
      </c>
      <c r="EL26" s="2531">
        <v>705</v>
      </c>
      <c r="EM26" s="2557">
        <v>361</v>
      </c>
      <c r="EN26" s="2557">
        <v>355</v>
      </c>
      <c r="EO26" s="2558">
        <v>351</v>
      </c>
      <c r="EP26" s="2558">
        <v>305</v>
      </c>
      <c r="EQ26" s="2559">
        <v>277</v>
      </c>
      <c r="ER26" s="1323">
        <v>216</v>
      </c>
      <c r="ES26" s="3357">
        <v>230</v>
      </c>
      <c r="ET26" s="3357">
        <v>215</v>
      </c>
      <c r="EU26" s="2560">
        <v>326</v>
      </c>
      <c r="EV26" s="2107">
        <v>321</v>
      </c>
      <c r="EW26" s="2107">
        <v>638</v>
      </c>
      <c r="EX26" s="2107">
        <v>876</v>
      </c>
      <c r="EY26" s="2107">
        <v>440</v>
      </c>
      <c r="EZ26" s="2107">
        <v>523</v>
      </c>
      <c r="FA26" s="2275">
        <v>295</v>
      </c>
      <c r="FB26" s="2275">
        <v>448</v>
      </c>
      <c r="FC26" s="2275">
        <v>423</v>
      </c>
      <c r="FD26" s="2615">
        <v>342</v>
      </c>
      <c r="FE26" s="2616">
        <v>340</v>
      </c>
      <c r="FF26" s="2616">
        <v>151</v>
      </c>
      <c r="FG26" s="2616">
        <v>4</v>
      </c>
      <c r="FH26" s="2616">
        <v>5</v>
      </c>
      <c r="FI26" s="2616">
        <v>9</v>
      </c>
      <c r="FJ26" s="2616">
        <v>33</v>
      </c>
      <c r="FK26" s="2616">
        <v>28</v>
      </c>
      <c r="FL26" s="2616">
        <v>23</v>
      </c>
      <c r="FM26" s="2616">
        <v>33</v>
      </c>
      <c r="FN26" s="2616">
        <v>34</v>
      </c>
      <c r="FO26" s="2617">
        <v>93</v>
      </c>
      <c r="FP26" s="2615">
        <v>62</v>
      </c>
      <c r="FQ26" s="2616">
        <v>42</v>
      </c>
      <c r="FR26" s="2616">
        <v>56</v>
      </c>
      <c r="FS26" s="2616">
        <v>68</v>
      </c>
      <c r="FT26" s="2616">
        <v>55</v>
      </c>
      <c r="FU26" s="2616">
        <v>289</v>
      </c>
      <c r="FV26" s="2616">
        <v>429</v>
      </c>
      <c r="FW26" s="2616">
        <v>177</v>
      </c>
      <c r="FX26" s="2616">
        <v>181</v>
      </c>
      <c r="FY26" s="2616">
        <v>226</v>
      </c>
      <c r="FZ26" s="2616">
        <v>229</v>
      </c>
      <c r="GA26" s="2617">
        <v>310</v>
      </c>
      <c r="GB26" s="4659">
        <v>181</v>
      </c>
      <c r="GC26" s="4660">
        <v>286</v>
      </c>
      <c r="GD26" s="4660">
        <v>250</v>
      </c>
      <c r="GE26" s="4660">
        <v>264</v>
      </c>
      <c r="GF26" s="4660">
        <v>226</v>
      </c>
      <c r="GG26" s="4660"/>
      <c r="GH26" s="4660"/>
      <c r="GI26" s="4660"/>
      <c r="GJ26" s="4660"/>
      <c r="GK26" s="4660"/>
      <c r="GL26" s="4660"/>
      <c r="GM26" s="4661"/>
      <c r="GN26" s="2607"/>
      <c r="GO26" s="2754">
        <v>522</v>
      </c>
      <c r="GP26" s="2755">
        <v>650</v>
      </c>
      <c r="GQ26" s="2755">
        <v>1040</v>
      </c>
      <c r="GR26" s="2756">
        <v>693</v>
      </c>
      <c r="GS26" s="2757">
        <v>780</v>
      </c>
      <c r="GT26" s="2758">
        <v>760</v>
      </c>
      <c r="GU26" s="2758">
        <v>1199</v>
      </c>
      <c r="GV26" s="2759">
        <v>702</v>
      </c>
      <c r="GW26" s="2760">
        <v>562</v>
      </c>
      <c r="GX26" s="2761">
        <v>1065</v>
      </c>
      <c r="GY26" s="2762">
        <v>1172</v>
      </c>
      <c r="GZ26" s="2762">
        <v>749</v>
      </c>
      <c r="HA26" s="2763">
        <v>582</v>
      </c>
      <c r="HB26" s="2764">
        <v>683</v>
      </c>
      <c r="HC26" s="2764">
        <v>1178</v>
      </c>
      <c r="HD26" s="2765">
        <v>673</v>
      </c>
      <c r="HE26" s="2766">
        <v>564</v>
      </c>
      <c r="HF26" s="2767">
        <v>718</v>
      </c>
      <c r="HG26" s="2767">
        <v>1153</v>
      </c>
      <c r="HH26" s="2768">
        <v>821</v>
      </c>
      <c r="HI26" s="2764">
        <v>636</v>
      </c>
      <c r="HJ26" s="2764">
        <v>811</v>
      </c>
      <c r="HK26" s="2764">
        <v>1095</v>
      </c>
      <c r="HL26" s="2764">
        <v>787</v>
      </c>
      <c r="HM26" s="2769">
        <v>676</v>
      </c>
      <c r="HN26" s="2769">
        <v>787</v>
      </c>
      <c r="HO26" s="2769">
        <v>1163</v>
      </c>
      <c r="HP26" s="2769">
        <v>825</v>
      </c>
      <c r="HQ26" s="2770">
        <v>722</v>
      </c>
      <c r="HR26" s="2770">
        <v>954</v>
      </c>
      <c r="HS26" s="2770">
        <f t="shared" si="1"/>
        <v>1057</v>
      </c>
      <c r="HT26" s="2770">
        <v>783</v>
      </c>
      <c r="HU26" s="2771">
        <v>680</v>
      </c>
      <c r="HV26" s="2771">
        <f t="shared" si="2"/>
        <v>846</v>
      </c>
      <c r="HW26" s="2771">
        <f t="shared" si="3"/>
        <v>1071</v>
      </c>
      <c r="HX26" s="2770">
        <f t="shared" si="4"/>
        <v>774</v>
      </c>
      <c r="HY26" s="2689">
        <f t="shared" si="5"/>
        <v>713</v>
      </c>
      <c r="HZ26" s="2689">
        <f t="shared" si="6"/>
        <v>828</v>
      </c>
      <c r="IA26" s="2689">
        <f t="shared" si="7"/>
        <v>1111</v>
      </c>
      <c r="IB26" s="2689">
        <f t="shared" si="8"/>
        <v>712</v>
      </c>
      <c r="IC26" s="2764">
        <f t="shared" si="9"/>
        <v>607</v>
      </c>
      <c r="ID26" s="2764">
        <f t="shared" si="10"/>
        <v>763</v>
      </c>
      <c r="IE26" s="2764">
        <f t="shared" si="11"/>
        <v>1226</v>
      </c>
      <c r="IF26" s="2764">
        <f t="shared" si="12"/>
        <v>727</v>
      </c>
      <c r="IG26" s="2772">
        <f t="shared" si="13"/>
        <v>706</v>
      </c>
      <c r="IH26" s="2769">
        <f t="shared" si="14"/>
        <v>875</v>
      </c>
      <c r="II26" s="2769">
        <f t="shared" si="15"/>
        <v>1421</v>
      </c>
      <c r="IJ26" s="2769">
        <f t="shared" si="16"/>
        <v>933</v>
      </c>
      <c r="IK26" s="2773">
        <f t="shared" si="17"/>
        <v>661</v>
      </c>
      <c r="IL26" s="2774">
        <f t="shared" si="18"/>
        <v>1285</v>
      </c>
      <c r="IM26" s="2774">
        <f t="shared" si="19"/>
        <v>1839</v>
      </c>
      <c r="IN26" s="2774">
        <f t="shared" si="20"/>
        <v>1166</v>
      </c>
      <c r="IO26" s="2775">
        <f t="shared" si="21"/>
        <v>833</v>
      </c>
      <c r="IP26" s="2776">
        <f t="shared" si="22"/>
        <v>18</v>
      </c>
      <c r="IQ26" s="2776">
        <f t="shared" ref="IQ26:IQ34" si="60">FJ26+FK26+FL26</f>
        <v>84</v>
      </c>
      <c r="IR26" s="2777">
        <f t="shared" si="24"/>
        <v>160</v>
      </c>
      <c r="IS26" s="2772">
        <f t="shared" si="25"/>
        <v>160</v>
      </c>
      <c r="IT26" s="2769">
        <f t="shared" si="26"/>
        <v>412</v>
      </c>
      <c r="IU26" s="2769">
        <f t="shared" si="27"/>
        <v>787</v>
      </c>
      <c r="IV26" s="2769">
        <f t="shared" si="28"/>
        <v>765</v>
      </c>
      <c r="IW26" s="3961">
        <f t="shared" si="46"/>
        <v>717</v>
      </c>
      <c r="IX26" s="3953">
        <f t="shared" si="47"/>
        <v>490</v>
      </c>
      <c r="IY26" s="3953">
        <f t="shared" si="48"/>
        <v>0</v>
      </c>
      <c r="IZ26" s="3962">
        <f t="shared" si="49"/>
        <v>0</v>
      </c>
      <c r="JA26" s="3957"/>
      <c r="JB26" s="3358">
        <v>2905</v>
      </c>
      <c r="JC26" s="3359">
        <v>3441</v>
      </c>
      <c r="JD26" s="3359">
        <v>3548</v>
      </c>
      <c r="JE26" s="3359">
        <v>3116</v>
      </c>
      <c r="JF26" s="3359">
        <v>3256</v>
      </c>
      <c r="JG26" s="3359">
        <v>3329</v>
      </c>
      <c r="JH26" s="3360">
        <v>3451</v>
      </c>
      <c r="JI26" s="3361">
        <v>3516</v>
      </c>
      <c r="JJ26" s="3361">
        <f t="shared" si="29"/>
        <v>3371</v>
      </c>
      <c r="JK26" s="3361">
        <f t="shared" si="30"/>
        <v>3446</v>
      </c>
      <c r="JL26" s="3361">
        <f t="shared" si="31"/>
        <v>3323</v>
      </c>
      <c r="JM26" s="3361">
        <f t="shared" si="32"/>
        <v>3935</v>
      </c>
      <c r="JN26" s="3362">
        <f t="shared" si="0"/>
        <v>4951</v>
      </c>
      <c r="JO26" s="3380">
        <f t="shared" si="33"/>
        <v>1095</v>
      </c>
      <c r="JP26" s="3378">
        <f t="shared" si="50"/>
        <v>2124</v>
      </c>
      <c r="JQ26" s="3377">
        <f t="shared" si="51"/>
        <v>3048</v>
      </c>
      <c r="JS26" s="4673">
        <f t="shared" si="52"/>
        <v>104</v>
      </c>
      <c r="JT26" s="3579">
        <f t="shared" si="53"/>
        <v>1207</v>
      </c>
      <c r="JU26" s="2525"/>
      <c r="JV26" s="3365">
        <f t="shared" si="54"/>
        <v>2089</v>
      </c>
      <c r="JW26" s="3366">
        <f t="shared" si="34"/>
        <v>5.4905309850133682E-3</v>
      </c>
      <c r="JX26" s="3366">
        <f t="shared" si="35"/>
        <v>5.0893585999133139E-3</v>
      </c>
      <c r="JY26" s="3366">
        <f t="shared" si="55"/>
        <v>5.7278020378457063E-3</v>
      </c>
      <c r="JZ26" s="3366">
        <f t="shared" si="36"/>
        <v>7.2066957787481805E-3</v>
      </c>
      <c r="KA26" s="3366">
        <f t="shared" si="37"/>
        <v>5.7367387033398819E-3</v>
      </c>
      <c r="KB26" s="4688">
        <f t="shared" si="38"/>
        <v>7.5588264601631344E-3</v>
      </c>
      <c r="KC26" s="4691">
        <f t="shared" si="56"/>
        <v>6.3713573206853804E-3</v>
      </c>
      <c r="KD26" s="3366"/>
      <c r="KE26" s="3368">
        <f t="shared" si="39"/>
        <v>-3.569355774811378E-2</v>
      </c>
      <c r="KF26" s="3369">
        <f t="shared" si="40"/>
        <v>-0.39378990133488101</v>
      </c>
      <c r="KG26" s="3369">
        <f t="shared" si="41"/>
        <v>0.18417092988263617</v>
      </c>
      <c r="KH26" s="3369">
        <f t="shared" si="42"/>
        <v>0.25819567979669622</v>
      </c>
      <c r="KI26" s="3369">
        <f t="shared" si="43"/>
        <v>-0.77883255907897397</v>
      </c>
      <c r="KJ26" s="3368">
        <f t="shared" si="44"/>
        <v>-0.57099575843263994</v>
      </c>
      <c r="KK26" s="3369">
        <f t="shared" si="57"/>
        <v>0.9397260273972603</v>
      </c>
      <c r="KL26" s="4678">
        <f t="shared" si="59"/>
        <v>-0.38436679458695211</v>
      </c>
      <c r="KM26" s="4678">
        <f t="shared" si="58"/>
        <v>0.43502824858757072</v>
      </c>
      <c r="KN26" s="3045"/>
      <c r="KO26" s="3045"/>
      <c r="KP26" s="3045"/>
      <c r="KQ26" s="3045"/>
      <c r="KR26" s="3045"/>
      <c r="KS26" s="3045"/>
      <c r="KT26" s="3045"/>
      <c r="KU26" s="3045"/>
      <c r="KV26" s="3045"/>
      <c r="KW26" s="3045"/>
      <c r="KX26" s="3045"/>
      <c r="KY26" s="3045"/>
      <c r="KZ26" s="3045"/>
      <c r="LA26" s="3045"/>
      <c r="LB26" s="3045"/>
      <c r="LC26" s="3045"/>
      <c r="LD26" s="3045"/>
      <c r="LE26" s="3045"/>
      <c r="LF26" s="3045"/>
      <c r="LG26" s="3045"/>
      <c r="LH26" s="3045"/>
      <c r="LI26" s="3045"/>
      <c r="LJ26" s="3045"/>
      <c r="LK26" s="2525"/>
      <c r="LL26" s="2525"/>
      <c r="LM26" s="2525"/>
      <c r="LN26" s="2525"/>
      <c r="LO26" s="2525"/>
      <c r="LP26" s="2525"/>
      <c r="LQ26" s="2525"/>
      <c r="LR26" s="2525"/>
    </row>
    <row r="27" spans="1:330" ht="21.9" customHeight="1">
      <c r="A27" s="3382"/>
      <c r="B27" s="3045"/>
      <c r="C27" s="3381" t="s">
        <v>29</v>
      </c>
      <c r="D27" s="3330">
        <v>120</v>
      </c>
      <c r="E27" s="3331">
        <v>59</v>
      </c>
      <c r="F27" s="3331">
        <v>128</v>
      </c>
      <c r="G27" s="3331">
        <v>109</v>
      </c>
      <c r="H27" s="3331">
        <v>113</v>
      </c>
      <c r="I27" s="3331">
        <v>72</v>
      </c>
      <c r="J27" s="3331">
        <v>102</v>
      </c>
      <c r="K27" s="3331">
        <v>118</v>
      </c>
      <c r="L27" s="3331">
        <v>110</v>
      </c>
      <c r="M27" s="3331">
        <v>166</v>
      </c>
      <c r="N27" s="3331">
        <v>172</v>
      </c>
      <c r="O27" s="3332">
        <v>155</v>
      </c>
      <c r="P27" s="3333">
        <v>194</v>
      </c>
      <c r="Q27" s="3334">
        <v>225</v>
      </c>
      <c r="R27" s="3334">
        <v>75</v>
      </c>
      <c r="S27" s="3334">
        <v>146</v>
      </c>
      <c r="T27" s="3334">
        <v>108</v>
      </c>
      <c r="U27" s="3334">
        <v>91</v>
      </c>
      <c r="V27" s="3334">
        <v>59</v>
      </c>
      <c r="W27" s="3334">
        <v>146</v>
      </c>
      <c r="X27" s="3334">
        <v>144</v>
      </c>
      <c r="Y27" s="3334">
        <v>246</v>
      </c>
      <c r="Z27" s="3334">
        <v>176</v>
      </c>
      <c r="AA27" s="3335">
        <v>156</v>
      </c>
      <c r="AB27" s="3336">
        <v>242</v>
      </c>
      <c r="AC27" s="3337">
        <v>112</v>
      </c>
      <c r="AD27" s="3337">
        <v>107</v>
      </c>
      <c r="AE27" s="3337">
        <v>162</v>
      </c>
      <c r="AF27" s="3337">
        <v>132</v>
      </c>
      <c r="AG27" s="3337">
        <v>102</v>
      </c>
      <c r="AH27" s="3337">
        <v>113</v>
      </c>
      <c r="AI27" s="3337">
        <v>121</v>
      </c>
      <c r="AJ27" s="3337">
        <v>168</v>
      </c>
      <c r="AK27" s="3337">
        <v>111</v>
      </c>
      <c r="AL27" s="3337">
        <v>109</v>
      </c>
      <c r="AM27" s="3338">
        <v>124</v>
      </c>
      <c r="AN27" s="3339">
        <v>180</v>
      </c>
      <c r="AO27" s="3340">
        <v>118</v>
      </c>
      <c r="AP27" s="3340">
        <v>148</v>
      </c>
      <c r="AQ27" s="3340">
        <v>100</v>
      </c>
      <c r="AR27" s="3340">
        <v>129</v>
      </c>
      <c r="AS27" s="3340">
        <v>93</v>
      </c>
      <c r="AT27" s="3340">
        <v>88</v>
      </c>
      <c r="AU27" s="3340">
        <v>74</v>
      </c>
      <c r="AV27" s="3340">
        <v>110</v>
      </c>
      <c r="AW27" s="3340">
        <v>95</v>
      </c>
      <c r="AX27" s="3340">
        <v>136</v>
      </c>
      <c r="AY27" s="3341">
        <v>177</v>
      </c>
      <c r="AZ27" s="3277">
        <v>162</v>
      </c>
      <c r="BA27" s="3277">
        <v>143</v>
      </c>
      <c r="BB27" s="3277">
        <v>142</v>
      </c>
      <c r="BC27" s="3277">
        <v>190</v>
      </c>
      <c r="BD27" s="3277">
        <v>66</v>
      </c>
      <c r="BE27" s="3277">
        <v>108</v>
      </c>
      <c r="BF27" s="3277">
        <v>147</v>
      </c>
      <c r="BG27" s="3277">
        <v>120</v>
      </c>
      <c r="BH27" s="3277">
        <v>122</v>
      </c>
      <c r="BI27" s="3277">
        <v>233</v>
      </c>
      <c r="BJ27" s="3277">
        <v>327</v>
      </c>
      <c r="BK27" s="3374">
        <v>182</v>
      </c>
      <c r="BL27" s="3344">
        <v>251</v>
      </c>
      <c r="BM27" s="3345">
        <v>150</v>
      </c>
      <c r="BN27" s="3345">
        <v>195</v>
      </c>
      <c r="BO27" s="3345">
        <v>172</v>
      </c>
      <c r="BP27" s="3345">
        <v>182</v>
      </c>
      <c r="BQ27" s="3345">
        <v>137</v>
      </c>
      <c r="BR27" s="3345">
        <v>166</v>
      </c>
      <c r="BS27" s="3345">
        <v>178</v>
      </c>
      <c r="BT27" s="3346">
        <v>154</v>
      </c>
      <c r="BU27" s="3346">
        <v>220</v>
      </c>
      <c r="BV27" s="3346">
        <v>229</v>
      </c>
      <c r="BW27" s="3347">
        <v>199</v>
      </c>
      <c r="BX27" s="3348">
        <v>291</v>
      </c>
      <c r="BY27" s="3273">
        <v>256</v>
      </c>
      <c r="BZ27" s="3273">
        <v>196</v>
      </c>
      <c r="CA27" s="3273">
        <v>178</v>
      </c>
      <c r="CB27" s="3273">
        <v>194</v>
      </c>
      <c r="CC27" s="3273">
        <v>139</v>
      </c>
      <c r="CD27" s="3273">
        <v>129</v>
      </c>
      <c r="CE27" s="3273">
        <v>136</v>
      </c>
      <c r="CF27" s="3273">
        <v>181</v>
      </c>
      <c r="CG27" s="3273">
        <v>182</v>
      </c>
      <c r="CH27" s="3273">
        <v>201</v>
      </c>
      <c r="CI27" s="3275">
        <v>247</v>
      </c>
      <c r="CJ27" s="3349">
        <v>283</v>
      </c>
      <c r="CK27" s="3350">
        <v>291</v>
      </c>
      <c r="CL27" s="3350">
        <v>178</v>
      </c>
      <c r="CM27" s="3350">
        <v>224</v>
      </c>
      <c r="CN27" s="3350">
        <v>155</v>
      </c>
      <c r="CO27" s="3350">
        <v>158</v>
      </c>
      <c r="CP27" s="3350">
        <v>153</v>
      </c>
      <c r="CQ27" s="3350">
        <v>165</v>
      </c>
      <c r="CR27" s="3350">
        <v>173</v>
      </c>
      <c r="CS27" s="3350">
        <v>247</v>
      </c>
      <c r="CT27" s="3350">
        <v>240</v>
      </c>
      <c r="CU27" s="3351">
        <v>293</v>
      </c>
      <c r="CV27" s="3349">
        <v>376</v>
      </c>
      <c r="CW27" s="3350">
        <v>163</v>
      </c>
      <c r="CX27" s="3272">
        <v>162</v>
      </c>
      <c r="CY27" s="3272">
        <v>180</v>
      </c>
      <c r="CZ27" s="3272">
        <v>145</v>
      </c>
      <c r="DA27" s="3272">
        <v>118</v>
      </c>
      <c r="DB27" s="3272">
        <v>159</v>
      </c>
      <c r="DC27" s="3272">
        <v>113</v>
      </c>
      <c r="DD27" s="3272">
        <v>185</v>
      </c>
      <c r="DE27" s="3272">
        <v>181</v>
      </c>
      <c r="DF27" s="3272">
        <v>191</v>
      </c>
      <c r="DG27" s="3351">
        <v>200</v>
      </c>
      <c r="DH27" s="3352">
        <v>228</v>
      </c>
      <c r="DI27" s="3353">
        <v>199</v>
      </c>
      <c r="DJ27" s="3353">
        <v>167</v>
      </c>
      <c r="DK27" s="3354">
        <v>147</v>
      </c>
      <c r="DL27" s="3354">
        <v>136</v>
      </c>
      <c r="DM27" s="3354">
        <v>146</v>
      </c>
      <c r="DN27" s="3354">
        <v>117</v>
      </c>
      <c r="DO27" s="3354">
        <v>130</v>
      </c>
      <c r="DP27" s="2556">
        <v>120</v>
      </c>
      <c r="DQ27" s="3354">
        <v>266</v>
      </c>
      <c r="DR27" s="3354">
        <v>200</v>
      </c>
      <c r="DS27" s="3355">
        <v>214</v>
      </c>
      <c r="DT27" s="3356">
        <v>248</v>
      </c>
      <c r="DU27" s="3243">
        <v>204</v>
      </c>
      <c r="DV27" s="3243">
        <v>211</v>
      </c>
      <c r="DW27" s="3164">
        <v>202</v>
      </c>
      <c r="DX27" s="3164">
        <v>142</v>
      </c>
      <c r="DY27" s="3164">
        <v>160</v>
      </c>
      <c r="DZ27" s="3164">
        <v>134</v>
      </c>
      <c r="EA27" s="3164">
        <v>152</v>
      </c>
      <c r="EB27" s="3164">
        <v>185</v>
      </c>
      <c r="EC27" s="3164">
        <v>234</v>
      </c>
      <c r="ED27" s="3164">
        <v>193</v>
      </c>
      <c r="EE27" s="3163">
        <v>296</v>
      </c>
      <c r="EF27" s="2532">
        <v>246</v>
      </c>
      <c r="EG27" s="2531">
        <v>213</v>
      </c>
      <c r="EH27" s="2531">
        <v>182</v>
      </c>
      <c r="EI27" s="2531">
        <v>198</v>
      </c>
      <c r="EJ27" s="2531">
        <v>159</v>
      </c>
      <c r="EK27" s="2531">
        <v>138</v>
      </c>
      <c r="EL27" s="2531">
        <v>169</v>
      </c>
      <c r="EM27" s="2557">
        <v>173</v>
      </c>
      <c r="EN27" s="2557">
        <v>195</v>
      </c>
      <c r="EO27" s="2558">
        <v>203</v>
      </c>
      <c r="EP27" s="2558">
        <v>223</v>
      </c>
      <c r="EQ27" s="2559">
        <v>279</v>
      </c>
      <c r="ER27" s="1320">
        <v>262</v>
      </c>
      <c r="ES27" s="3357">
        <v>212</v>
      </c>
      <c r="ET27" s="3357">
        <v>207</v>
      </c>
      <c r="EU27" s="2560">
        <v>218</v>
      </c>
      <c r="EV27" s="2104">
        <v>155</v>
      </c>
      <c r="EW27" s="2104">
        <v>178</v>
      </c>
      <c r="EX27" s="2104">
        <v>194</v>
      </c>
      <c r="EY27" s="2104">
        <v>225</v>
      </c>
      <c r="EZ27" s="2104">
        <v>226</v>
      </c>
      <c r="FA27" s="2275">
        <v>205</v>
      </c>
      <c r="FB27" s="2275">
        <v>228</v>
      </c>
      <c r="FC27" s="2275">
        <v>316</v>
      </c>
      <c r="FD27" s="2615">
        <v>301</v>
      </c>
      <c r="FE27" s="2616">
        <v>244</v>
      </c>
      <c r="FF27" s="2616">
        <v>104</v>
      </c>
      <c r="FG27" s="2616">
        <v>1</v>
      </c>
      <c r="FH27" s="2616">
        <v>1</v>
      </c>
      <c r="FI27" s="2616">
        <v>9</v>
      </c>
      <c r="FJ27" s="2616">
        <v>6</v>
      </c>
      <c r="FK27" s="2616">
        <v>22</v>
      </c>
      <c r="FL27" s="2616">
        <v>33</v>
      </c>
      <c r="FM27" s="2616">
        <v>56</v>
      </c>
      <c r="FN27" s="2616">
        <v>64</v>
      </c>
      <c r="FO27" s="2617">
        <v>67</v>
      </c>
      <c r="FP27" s="2615">
        <v>89</v>
      </c>
      <c r="FQ27" s="2616">
        <v>69</v>
      </c>
      <c r="FR27" s="2616">
        <v>89</v>
      </c>
      <c r="FS27" s="2616">
        <v>87</v>
      </c>
      <c r="FT27" s="2616">
        <v>61</v>
      </c>
      <c r="FU27" s="2616">
        <v>106</v>
      </c>
      <c r="FV27" s="2616">
        <v>97</v>
      </c>
      <c r="FW27" s="2616">
        <v>131</v>
      </c>
      <c r="FX27" s="2616">
        <v>118</v>
      </c>
      <c r="FY27" s="2616">
        <v>132</v>
      </c>
      <c r="FZ27" s="2616">
        <v>177</v>
      </c>
      <c r="GA27" s="2617">
        <v>254</v>
      </c>
      <c r="GB27" s="4659">
        <v>265</v>
      </c>
      <c r="GC27" s="4660">
        <v>141</v>
      </c>
      <c r="GD27" s="4660">
        <v>116</v>
      </c>
      <c r="GE27" s="4660">
        <v>94</v>
      </c>
      <c r="GF27" s="4660">
        <v>102</v>
      </c>
      <c r="GG27" s="4660"/>
      <c r="GH27" s="4660"/>
      <c r="GI27" s="4660"/>
      <c r="GJ27" s="4660"/>
      <c r="GK27" s="4660"/>
      <c r="GL27" s="4660"/>
      <c r="GM27" s="4661"/>
      <c r="GN27" s="2607"/>
      <c r="GO27" s="2754">
        <v>307</v>
      </c>
      <c r="GP27" s="2755">
        <v>294</v>
      </c>
      <c r="GQ27" s="2755">
        <v>330</v>
      </c>
      <c r="GR27" s="2756">
        <v>493</v>
      </c>
      <c r="GS27" s="2757">
        <v>494</v>
      </c>
      <c r="GT27" s="2758">
        <v>345</v>
      </c>
      <c r="GU27" s="2758">
        <v>349</v>
      </c>
      <c r="GV27" s="2759">
        <v>578</v>
      </c>
      <c r="GW27" s="2760">
        <v>461</v>
      </c>
      <c r="GX27" s="2761">
        <v>396</v>
      </c>
      <c r="GY27" s="2762">
        <v>402</v>
      </c>
      <c r="GZ27" s="2762">
        <v>344</v>
      </c>
      <c r="HA27" s="2763">
        <v>446</v>
      </c>
      <c r="HB27" s="2764">
        <v>322</v>
      </c>
      <c r="HC27" s="2764">
        <v>272</v>
      </c>
      <c r="HD27" s="2765">
        <v>408</v>
      </c>
      <c r="HE27" s="2766">
        <v>447</v>
      </c>
      <c r="HF27" s="2767">
        <v>364</v>
      </c>
      <c r="HG27" s="2767">
        <v>389</v>
      </c>
      <c r="HH27" s="2768">
        <v>742</v>
      </c>
      <c r="HI27" s="2764">
        <v>596</v>
      </c>
      <c r="HJ27" s="2764">
        <v>491</v>
      </c>
      <c r="HK27" s="2764">
        <v>498</v>
      </c>
      <c r="HL27" s="2764">
        <v>648</v>
      </c>
      <c r="HM27" s="2769">
        <v>743</v>
      </c>
      <c r="HN27" s="2769">
        <v>511</v>
      </c>
      <c r="HO27" s="2769">
        <v>446</v>
      </c>
      <c r="HP27" s="2769">
        <v>630</v>
      </c>
      <c r="HQ27" s="2770">
        <v>752</v>
      </c>
      <c r="HR27" s="2770">
        <v>537</v>
      </c>
      <c r="HS27" s="2770">
        <f t="shared" si="1"/>
        <v>491</v>
      </c>
      <c r="HT27" s="2770">
        <v>780</v>
      </c>
      <c r="HU27" s="2771">
        <v>701</v>
      </c>
      <c r="HV27" s="2771">
        <f t="shared" si="2"/>
        <v>443</v>
      </c>
      <c r="HW27" s="2771">
        <f t="shared" si="3"/>
        <v>457</v>
      </c>
      <c r="HX27" s="2770">
        <f t="shared" si="4"/>
        <v>572</v>
      </c>
      <c r="HY27" s="2689">
        <f t="shared" si="5"/>
        <v>594</v>
      </c>
      <c r="HZ27" s="2689">
        <f t="shared" si="6"/>
        <v>429</v>
      </c>
      <c r="IA27" s="2689">
        <f t="shared" si="7"/>
        <v>461</v>
      </c>
      <c r="IB27" s="2689">
        <f t="shared" si="8"/>
        <v>680</v>
      </c>
      <c r="IC27" s="2764">
        <f t="shared" si="9"/>
        <v>663</v>
      </c>
      <c r="ID27" s="2764">
        <f t="shared" si="10"/>
        <v>504</v>
      </c>
      <c r="IE27" s="2764">
        <f t="shared" si="11"/>
        <v>471</v>
      </c>
      <c r="IF27" s="2764">
        <f t="shared" si="12"/>
        <v>723</v>
      </c>
      <c r="IG27" s="2772">
        <f t="shared" si="13"/>
        <v>641</v>
      </c>
      <c r="IH27" s="2769">
        <f t="shared" si="14"/>
        <v>495</v>
      </c>
      <c r="II27" s="2769">
        <f t="shared" si="15"/>
        <v>537</v>
      </c>
      <c r="IJ27" s="2769">
        <f t="shared" si="16"/>
        <v>705</v>
      </c>
      <c r="IK27" s="2773">
        <f t="shared" si="17"/>
        <v>681</v>
      </c>
      <c r="IL27" s="2774">
        <f t="shared" si="18"/>
        <v>551</v>
      </c>
      <c r="IM27" s="2774">
        <f t="shared" si="19"/>
        <v>645</v>
      </c>
      <c r="IN27" s="2774">
        <f t="shared" si="20"/>
        <v>749</v>
      </c>
      <c r="IO27" s="2775">
        <f t="shared" si="21"/>
        <v>649</v>
      </c>
      <c r="IP27" s="2776">
        <f t="shared" si="22"/>
        <v>11</v>
      </c>
      <c r="IQ27" s="2776">
        <f t="shared" si="60"/>
        <v>61</v>
      </c>
      <c r="IR27" s="2777">
        <f t="shared" si="24"/>
        <v>187</v>
      </c>
      <c r="IS27" s="2772">
        <f t="shared" si="25"/>
        <v>247</v>
      </c>
      <c r="IT27" s="2769">
        <f t="shared" si="26"/>
        <v>254</v>
      </c>
      <c r="IU27" s="2769">
        <f t="shared" si="27"/>
        <v>346</v>
      </c>
      <c r="IV27" s="2769">
        <f t="shared" si="28"/>
        <v>563</v>
      </c>
      <c r="IW27" s="3961">
        <f t="shared" si="46"/>
        <v>522</v>
      </c>
      <c r="IX27" s="3953">
        <f t="shared" si="47"/>
        <v>196</v>
      </c>
      <c r="IY27" s="3953">
        <f t="shared" si="48"/>
        <v>0</v>
      </c>
      <c r="IZ27" s="3962">
        <f t="shared" si="49"/>
        <v>0</v>
      </c>
      <c r="JA27" s="3957"/>
      <c r="JB27" s="3358">
        <v>1424</v>
      </c>
      <c r="JC27" s="3359">
        <v>1766</v>
      </c>
      <c r="JD27" s="3359">
        <v>1603</v>
      </c>
      <c r="JE27" s="3359">
        <v>1448</v>
      </c>
      <c r="JF27" s="3359">
        <v>1942</v>
      </c>
      <c r="JG27" s="3359">
        <v>2233</v>
      </c>
      <c r="JH27" s="3360">
        <v>2330</v>
      </c>
      <c r="JI27" s="3361">
        <v>2560</v>
      </c>
      <c r="JJ27" s="3361">
        <f t="shared" si="29"/>
        <v>2173</v>
      </c>
      <c r="JK27" s="3361">
        <f t="shared" si="30"/>
        <v>2070</v>
      </c>
      <c r="JL27" s="3361">
        <f t="shared" si="31"/>
        <v>2361</v>
      </c>
      <c r="JM27" s="3361">
        <f t="shared" si="32"/>
        <v>2378</v>
      </c>
      <c r="JN27" s="3362">
        <f t="shared" si="0"/>
        <v>2626</v>
      </c>
      <c r="JO27" s="3380">
        <f t="shared" si="33"/>
        <v>908</v>
      </c>
      <c r="JP27" s="3378">
        <f t="shared" si="50"/>
        <v>1410</v>
      </c>
      <c r="JQ27" s="3377">
        <f t="shared" si="51"/>
        <v>1733</v>
      </c>
      <c r="JS27" s="4673">
        <f t="shared" si="52"/>
        <v>158</v>
      </c>
      <c r="JT27" s="3579">
        <f t="shared" si="53"/>
        <v>718</v>
      </c>
      <c r="JU27" s="2525"/>
      <c r="JV27" s="3365">
        <f t="shared" si="54"/>
        <v>1350.3333333333333</v>
      </c>
      <c r="JW27" s="3366">
        <f t="shared" si="34"/>
        <v>3.2981425243696085E-3</v>
      </c>
      <c r="JX27" s="3366">
        <f t="shared" si="35"/>
        <v>3.6160023034593242E-3</v>
      </c>
      <c r="JY27" s="3366">
        <f t="shared" si="55"/>
        <v>3.4614264919941777E-3</v>
      </c>
      <c r="JZ27" s="3366">
        <f t="shared" si="36"/>
        <v>3.8224163027656475E-3</v>
      </c>
      <c r="KA27" s="3366">
        <f t="shared" si="37"/>
        <v>4.7570399476096923E-3</v>
      </c>
      <c r="KB27" s="4688">
        <f t="shared" si="38"/>
        <v>5.0178650229896508E-3</v>
      </c>
      <c r="KC27" s="4691">
        <f t="shared" si="56"/>
        <v>3.6225597889592404E-3</v>
      </c>
      <c r="KD27" s="3366"/>
      <c r="KE27" s="3368">
        <f t="shared" si="39"/>
        <v>0.14057971014492754</v>
      </c>
      <c r="KF27" s="3369">
        <f t="shared" si="40"/>
        <v>-0.34766505636070855</v>
      </c>
      <c r="KG27" s="3369">
        <f t="shared" si="41"/>
        <v>7.2003388394747958E-3</v>
      </c>
      <c r="KH27" s="3369">
        <f t="shared" si="42"/>
        <v>0.10428931875525649</v>
      </c>
      <c r="KI27" s="3369">
        <f t="shared" si="43"/>
        <v>-0.65422696115765422</v>
      </c>
      <c r="KJ27" s="3368">
        <f t="shared" si="44"/>
        <v>-0.46306169078446302</v>
      </c>
      <c r="KK27" s="3369">
        <f t="shared" si="57"/>
        <v>0.55286343612334798</v>
      </c>
      <c r="KL27" s="4678">
        <f t="shared" si="59"/>
        <v>-0.3400609291698401</v>
      </c>
      <c r="KM27" s="4678">
        <f t="shared" si="58"/>
        <v>0.22907801418439711</v>
      </c>
      <c r="KN27" s="3045"/>
      <c r="KO27" s="3045"/>
      <c r="KP27" s="3045"/>
      <c r="KQ27" s="3045"/>
      <c r="KR27" s="3045"/>
      <c r="KS27" s="3045"/>
      <c r="KT27" s="3045"/>
      <c r="KU27" s="3045"/>
      <c r="KV27" s="3045"/>
      <c r="KW27" s="3045"/>
      <c r="KX27" s="3045"/>
      <c r="KY27" s="3045"/>
      <c r="KZ27" s="3045"/>
      <c r="LA27" s="3045"/>
      <c r="LB27" s="3045"/>
      <c r="LC27" s="3045"/>
      <c r="LD27" s="3045"/>
      <c r="LE27" s="3045"/>
      <c r="LF27" s="3045"/>
      <c r="LG27" s="3045"/>
      <c r="LH27" s="3045"/>
      <c r="LI27" s="3045"/>
      <c r="LJ27" s="3045"/>
      <c r="LK27" s="2525"/>
      <c r="LL27" s="2525"/>
      <c r="LM27" s="2525"/>
      <c r="LN27" s="2525"/>
      <c r="LO27" s="2525"/>
      <c r="LP27" s="2525"/>
      <c r="LQ27" s="2525"/>
      <c r="LR27" s="2525"/>
    </row>
    <row r="28" spans="1:330" ht="21.9" customHeight="1">
      <c r="A28" s="3382"/>
      <c r="B28" s="3045"/>
      <c r="C28" s="3381" t="s">
        <v>18</v>
      </c>
      <c r="D28" s="3330">
        <v>119</v>
      </c>
      <c r="E28" s="3331">
        <v>130</v>
      </c>
      <c r="F28" s="3331">
        <v>176</v>
      </c>
      <c r="G28" s="3331">
        <v>124</v>
      </c>
      <c r="H28" s="3331">
        <v>123</v>
      </c>
      <c r="I28" s="3331">
        <v>173</v>
      </c>
      <c r="J28" s="3331">
        <v>251</v>
      </c>
      <c r="K28" s="3331">
        <v>216</v>
      </c>
      <c r="L28" s="3331">
        <v>321</v>
      </c>
      <c r="M28" s="3331">
        <v>214</v>
      </c>
      <c r="N28" s="3331">
        <v>244</v>
      </c>
      <c r="O28" s="3332">
        <v>126</v>
      </c>
      <c r="P28" s="3333">
        <v>134</v>
      </c>
      <c r="Q28" s="3334">
        <v>307</v>
      </c>
      <c r="R28" s="3334">
        <v>218</v>
      </c>
      <c r="S28" s="3334">
        <v>255</v>
      </c>
      <c r="T28" s="3334">
        <v>201</v>
      </c>
      <c r="U28" s="3334">
        <v>215</v>
      </c>
      <c r="V28" s="3334">
        <v>187</v>
      </c>
      <c r="W28" s="3334">
        <v>228</v>
      </c>
      <c r="X28" s="3334">
        <v>253</v>
      </c>
      <c r="Y28" s="3334">
        <v>230</v>
      </c>
      <c r="Z28" s="3334">
        <v>279</v>
      </c>
      <c r="AA28" s="3335">
        <v>228</v>
      </c>
      <c r="AB28" s="3336">
        <v>182</v>
      </c>
      <c r="AC28" s="3337">
        <v>186</v>
      </c>
      <c r="AD28" s="3337">
        <v>274</v>
      </c>
      <c r="AE28" s="3337">
        <v>222</v>
      </c>
      <c r="AF28" s="3337">
        <v>220.5</v>
      </c>
      <c r="AG28" s="3337">
        <v>219</v>
      </c>
      <c r="AH28" s="3337">
        <v>220</v>
      </c>
      <c r="AI28" s="3337">
        <v>205</v>
      </c>
      <c r="AJ28" s="3337">
        <v>241</v>
      </c>
      <c r="AK28" s="3337">
        <v>178</v>
      </c>
      <c r="AL28" s="3337">
        <v>253</v>
      </c>
      <c r="AM28" s="3338">
        <v>160</v>
      </c>
      <c r="AN28" s="3339">
        <v>173</v>
      </c>
      <c r="AO28" s="3340">
        <v>480</v>
      </c>
      <c r="AP28" s="3340">
        <v>219</v>
      </c>
      <c r="AQ28" s="3340">
        <v>183</v>
      </c>
      <c r="AR28" s="3340">
        <v>203</v>
      </c>
      <c r="AS28" s="3340">
        <v>202</v>
      </c>
      <c r="AT28" s="3340">
        <v>126</v>
      </c>
      <c r="AU28" s="3340">
        <v>185</v>
      </c>
      <c r="AV28" s="3340">
        <v>172</v>
      </c>
      <c r="AW28" s="3340">
        <v>151</v>
      </c>
      <c r="AX28" s="3340">
        <v>223</v>
      </c>
      <c r="AY28" s="3341">
        <v>172</v>
      </c>
      <c r="AZ28" s="3277">
        <v>173</v>
      </c>
      <c r="BA28" s="3277">
        <v>187</v>
      </c>
      <c r="BB28" s="3277">
        <v>216</v>
      </c>
      <c r="BC28" s="3277">
        <v>138</v>
      </c>
      <c r="BD28" s="3277">
        <v>194</v>
      </c>
      <c r="BE28" s="3277">
        <v>192</v>
      </c>
      <c r="BF28" s="3277">
        <v>186</v>
      </c>
      <c r="BG28" s="3277">
        <v>182</v>
      </c>
      <c r="BH28" s="3277">
        <v>218</v>
      </c>
      <c r="BI28" s="3277">
        <v>222</v>
      </c>
      <c r="BJ28" s="3277">
        <v>219</v>
      </c>
      <c r="BK28" s="3374">
        <v>161</v>
      </c>
      <c r="BL28" s="3344">
        <v>2</v>
      </c>
      <c r="BM28" s="3345">
        <v>148</v>
      </c>
      <c r="BN28" s="3345">
        <v>155</v>
      </c>
      <c r="BO28" s="3345">
        <v>190</v>
      </c>
      <c r="BP28" s="3345">
        <v>221</v>
      </c>
      <c r="BQ28" s="3345">
        <v>224</v>
      </c>
      <c r="BR28" s="3345">
        <v>248</v>
      </c>
      <c r="BS28" s="3345">
        <v>205</v>
      </c>
      <c r="BT28" s="3346">
        <v>314</v>
      </c>
      <c r="BU28" s="3346">
        <v>260</v>
      </c>
      <c r="BV28" s="3346">
        <v>276</v>
      </c>
      <c r="BW28" s="3347">
        <v>182</v>
      </c>
      <c r="BX28" s="3348">
        <v>201</v>
      </c>
      <c r="BY28" s="3273">
        <v>185</v>
      </c>
      <c r="BZ28" s="3273">
        <v>224</v>
      </c>
      <c r="CA28" s="3273">
        <v>156</v>
      </c>
      <c r="CB28" s="3273">
        <v>251</v>
      </c>
      <c r="CC28" s="3273">
        <v>282</v>
      </c>
      <c r="CD28" s="3273">
        <v>325</v>
      </c>
      <c r="CE28" s="3273">
        <v>208</v>
      </c>
      <c r="CF28" s="3273">
        <v>236</v>
      </c>
      <c r="CG28" s="3273">
        <v>227</v>
      </c>
      <c r="CH28" s="3273">
        <v>327</v>
      </c>
      <c r="CI28" s="3275">
        <v>247</v>
      </c>
      <c r="CJ28" s="3349">
        <v>171</v>
      </c>
      <c r="CK28" s="3350">
        <v>189</v>
      </c>
      <c r="CL28" s="3350">
        <v>203</v>
      </c>
      <c r="CM28" s="3350">
        <v>239</v>
      </c>
      <c r="CN28" s="3350">
        <v>239</v>
      </c>
      <c r="CO28" s="3350">
        <v>247</v>
      </c>
      <c r="CP28" s="3350">
        <v>214</v>
      </c>
      <c r="CQ28" s="3350">
        <v>268</v>
      </c>
      <c r="CR28" s="3350">
        <v>318</v>
      </c>
      <c r="CS28" s="3350">
        <v>325</v>
      </c>
      <c r="CT28" s="3350">
        <v>275</v>
      </c>
      <c r="CU28" s="3351">
        <v>267</v>
      </c>
      <c r="CV28" s="3349">
        <v>193</v>
      </c>
      <c r="CW28" s="3350">
        <v>216</v>
      </c>
      <c r="CX28" s="3272">
        <v>209</v>
      </c>
      <c r="CY28" s="3272">
        <v>223</v>
      </c>
      <c r="CZ28" s="3272">
        <v>231</v>
      </c>
      <c r="DA28" s="3272">
        <v>215</v>
      </c>
      <c r="DB28" s="3272">
        <v>241</v>
      </c>
      <c r="DC28" s="3272">
        <v>229</v>
      </c>
      <c r="DD28" s="3272">
        <v>220</v>
      </c>
      <c r="DE28" s="3272">
        <v>313</v>
      </c>
      <c r="DF28" s="3272">
        <v>259</v>
      </c>
      <c r="DG28" s="3351">
        <v>272</v>
      </c>
      <c r="DH28" s="3352">
        <v>208</v>
      </c>
      <c r="DI28" s="3353">
        <v>198</v>
      </c>
      <c r="DJ28" s="3353">
        <v>189</v>
      </c>
      <c r="DK28" s="3354">
        <v>151</v>
      </c>
      <c r="DL28" s="3354">
        <v>162</v>
      </c>
      <c r="DM28" s="3354">
        <v>234</v>
      </c>
      <c r="DN28" s="3354">
        <v>292</v>
      </c>
      <c r="DO28" s="3354">
        <v>183</v>
      </c>
      <c r="DP28" s="2556">
        <v>214</v>
      </c>
      <c r="DQ28" s="3354">
        <v>300</v>
      </c>
      <c r="DR28" s="3354">
        <v>242</v>
      </c>
      <c r="DS28" s="3355">
        <v>325</v>
      </c>
      <c r="DT28" s="3356">
        <v>284</v>
      </c>
      <c r="DU28" s="3243">
        <v>170</v>
      </c>
      <c r="DV28" s="3243">
        <v>251</v>
      </c>
      <c r="DW28" s="3164">
        <v>239</v>
      </c>
      <c r="DX28" s="3164">
        <v>317</v>
      </c>
      <c r="DY28" s="3164">
        <v>264</v>
      </c>
      <c r="DZ28" s="3164">
        <v>306</v>
      </c>
      <c r="EA28" s="3164">
        <v>225</v>
      </c>
      <c r="EB28" s="3164">
        <v>258</v>
      </c>
      <c r="EC28" s="3164">
        <v>212</v>
      </c>
      <c r="ED28" s="3164">
        <v>352</v>
      </c>
      <c r="EE28" s="3163">
        <v>284</v>
      </c>
      <c r="EF28" s="2532">
        <v>267</v>
      </c>
      <c r="EG28" s="2531">
        <v>231</v>
      </c>
      <c r="EH28" s="2531">
        <v>204</v>
      </c>
      <c r="EI28" s="2531">
        <v>179</v>
      </c>
      <c r="EJ28" s="2531">
        <v>219</v>
      </c>
      <c r="EK28" s="2531">
        <v>249</v>
      </c>
      <c r="EL28" s="2531">
        <v>318</v>
      </c>
      <c r="EM28" s="2557">
        <v>205</v>
      </c>
      <c r="EN28" s="2557">
        <v>217</v>
      </c>
      <c r="EO28" s="2558">
        <v>284</v>
      </c>
      <c r="EP28" s="2558">
        <v>356</v>
      </c>
      <c r="EQ28" s="2559">
        <v>311</v>
      </c>
      <c r="ER28" s="1320">
        <v>204</v>
      </c>
      <c r="ES28" s="3357">
        <v>244</v>
      </c>
      <c r="ET28" s="3357">
        <v>216</v>
      </c>
      <c r="EU28" s="2560">
        <v>192</v>
      </c>
      <c r="EV28" s="2104">
        <v>266</v>
      </c>
      <c r="EW28" s="2104">
        <v>294</v>
      </c>
      <c r="EX28" s="2104">
        <v>299</v>
      </c>
      <c r="EY28" s="2104">
        <v>233</v>
      </c>
      <c r="EZ28" s="2104">
        <v>299</v>
      </c>
      <c r="FA28" s="2275">
        <v>341</v>
      </c>
      <c r="FB28" s="2275">
        <v>245</v>
      </c>
      <c r="FC28" s="2275">
        <v>285</v>
      </c>
      <c r="FD28" s="2615">
        <v>254</v>
      </c>
      <c r="FE28" s="2616">
        <v>289</v>
      </c>
      <c r="FF28" s="2616">
        <v>92</v>
      </c>
      <c r="FG28" s="2616">
        <v>1</v>
      </c>
      <c r="FH28" s="2616"/>
      <c r="FI28" s="2616">
        <v>3</v>
      </c>
      <c r="FJ28" s="2616">
        <v>6</v>
      </c>
      <c r="FK28" s="2616">
        <v>5</v>
      </c>
      <c r="FL28" s="2616">
        <v>6</v>
      </c>
      <c r="FM28" s="2616">
        <v>23</v>
      </c>
      <c r="FN28" s="2616">
        <v>41</v>
      </c>
      <c r="FO28" s="2617">
        <v>96</v>
      </c>
      <c r="FP28" s="2615">
        <v>54</v>
      </c>
      <c r="FQ28" s="2616">
        <v>82</v>
      </c>
      <c r="FR28" s="2616">
        <v>79</v>
      </c>
      <c r="FS28" s="2616">
        <v>49</v>
      </c>
      <c r="FT28" s="2616">
        <v>66</v>
      </c>
      <c r="FU28" s="2616">
        <v>69</v>
      </c>
      <c r="FV28" s="2616">
        <v>62</v>
      </c>
      <c r="FW28" s="2616">
        <v>109</v>
      </c>
      <c r="FX28" s="2616">
        <v>115</v>
      </c>
      <c r="FY28" s="2616">
        <v>108</v>
      </c>
      <c r="FZ28" s="2616">
        <v>110</v>
      </c>
      <c r="GA28" s="2617">
        <v>139</v>
      </c>
      <c r="GB28" s="4659">
        <v>105</v>
      </c>
      <c r="GC28" s="4660">
        <v>136</v>
      </c>
      <c r="GD28" s="4660">
        <v>190</v>
      </c>
      <c r="GE28" s="4660">
        <v>107</v>
      </c>
      <c r="GF28" s="4660">
        <v>154</v>
      </c>
      <c r="GG28" s="4660"/>
      <c r="GH28" s="4660"/>
      <c r="GI28" s="4660"/>
      <c r="GJ28" s="4660"/>
      <c r="GK28" s="4660"/>
      <c r="GL28" s="4660"/>
      <c r="GM28" s="4661"/>
      <c r="GN28" s="2607"/>
      <c r="GO28" s="2754">
        <v>425</v>
      </c>
      <c r="GP28" s="2755">
        <v>420</v>
      </c>
      <c r="GQ28" s="2755">
        <v>788</v>
      </c>
      <c r="GR28" s="2756">
        <v>584</v>
      </c>
      <c r="GS28" s="2757">
        <v>659</v>
      </c>
      <c r="GT28" s="2758">
        <v>671</v>
      </c>
      <c r="GU28" s="2758">
        <v>668</v>
      </c>
      <c r="GV28" s="2759">
        <v>737</v>
      </c>
      <c r="GW28" s="2760">
        <v>642</v>
      </c>
      <c r="GX28" s="2761">
        <v>661.5</v>
      </c>
      <c r="GY28" s="2762">
        <v>666</v>
      </c>
      <c r="GZ28" s="2762">
        <v>591</v>
      </c>
      <c r="HA28" s="2763">
        <v>872</v>
      </c>
      <c r="HB28" s="2764">
        <v>588</v>
      </c>
      <c r="HC28" s="2764">
        <v>483</v>
      </c>
      <c r="HD28" s="2765">
        <v>546</v>
      </c>
      <c r="HE28" s="2766">
        <v>576</v>
      </c>
      <c r="HF28" s="2767">
        <v>524</v>
      </c>
      <c r="HG28" s="2767">
        <v>586</v>
      </c>
      <c r="HH28" s="2768">
        <v>602</v>
      </c>
      <c r="HI28" s="2764">
        <v>305</v>
      </c>
      <c r="HJ28" s="2764">
        <v>635</v>
      </c>
      <c r="HK28" s="2764">
        <v>767</v>
      </c>
      <c r="HL28" s="2764">
        <v>718</v>
      </c>
      <c r="HM28" s="2769">
        <v>610</v>
      </c>
      <c r="HN28" s="2769">
        <v>689</v>
      </c>
      <c r="HO28" s="2769">
        <v>769</v>
      </c>
      <c r="HP28" s="2769">
        <v>801</v>
      </c>
      <c r="HQ28" s="2770">
        <v>563</v>
      </c>
      <c r="HR28" s="2770">
        <v>725</v>
      </c>
      <c r="HS28" s="2770">
        <f t="shared" si="1"/>
        <v>800</v>
      </c>
      <c r="HT28" s="2770">
        <v>867</v>
      </c>
      <c r="HU28" s="2771">
        <v>618</v>
      </c>
      <c r="HV28" s="2771">
        <f t="shared" si="2"/>
        <v>669</v>
      </c>
      <c r="HW28" s="2771">
        <f t="shared" si="3"/>
        <v>690</v>
      </c>
      <c r="HX28" s="2770">
        <f t="shared" si="4"/>
        <v>844</v>
      </c>
      <c r="HY28" s="2689">
        <f t="shared" si="5"/>
        <v>595</v>
      </c>
      <c r="HZ28" s="2689">
        <f t="shared" si="6"/>
        <v>547</v>
      </c>
      <c r="IA28" s="2689">
        <f t="shared" si="7"/>
        <v>800</v>
      </c>
      <c r="IB28" s="2689">
        <f t="shared" si="8"/>
        <v>867</v>
      </c>
      <c r="IC28" s="2764">
        <f t="shared" si="9"/>
        <v>705</v>
      </c>
      <c r="ID28" s="2764">
        <f t="shared" si="10"/>
        <v>820</v>
      </c>
      <c r="IE28" s="2764">
        <f t="shared" si="11"/>
        <v>789</v>
      </c>
      <c r="IF28" s="2764">
        <f t="shared" si="12"/>
        <v>848</v>
      </c>
      <c r="IG28" s="2772">
        <f t="shared" si="13"/>
        <v>702</v>
      </c>
      <c r="IH28" s="2769">
        <f t="shared" si="14"/>
        <v>647</v>
      </c>
      <c r="II28" s="2769">
        <f t="shared" si="15"/>
        <v>740</v>
      </c>
      <c r="IJ28" s="2769">
        <f t="shared" si="16"/>
        <v>951</v>
      </c>
      <c r="IK28" s="2773">
        <f t="shared" si="17"/>
        <v>664</v>
      </c>
      <c r="IL28" s="2774">
        <f t="shared" si="18"/>
        <v>752</v>
      </c>
      <c r="IM28" s="2774">
        <f t="shared" si="19"/>
        <v>831</v>
      </c>
      <c r="IN28" s="2774">
        <f t="shared" si="20"/>
        <v>871</v>
      </c>
      <c r="IO28" s="2775">
        <f t="shared" si="21"/>
        <v>635</v>
      </c>
      <c r="IP28" s="2776">
        <f t="shared" si="22"/>
        <v>4</v>
      </c>
      <c r="IQ28" s="2776">
        <f t="shared" si="60"/>
        <v>17</v>
      </c>
      <c r="IR28" s="2777">
        <f t="shared" si="24"/>
        <v>160</v>
      </c>
      <c r="IS28" s="2772">
        <f t="shared" si="25"/>
        <v>215</v>
      </c>
      <c r="IT28" s="2769">
        <f t="shared" si="26"/>
        <v>184</v>
      </c>
      <c r="IU28" s="2769">
        <f t="shared" si="27"/>
        <v>286</v>
      </c>
      <c r="IV28" s="2769">
        <f t="shared" si="28"/>
        <v>357</v>
      </c>
      <c r="IW28" s="3961">
        <f t="shared" si="46"/>
        <v>431</v>
      </c>
      <c r="IX28" s="3953">
        <f t="shared" si="47"/>
        <v>261</v>
      </c>
      <c r="IY28" s="3953">
        <f t="shared" si="48"/>
        <v>0</v>
      </c>
      <c r="IZ28" s="3962">
        <f t="shared" si="49"/>
        <v>0</v>
      </c>
      <c r="JA28" s="3957"/>
      <c r="JB28" s="3358">
        <v>2217</v>
      </c>
      <c r="JC28" s="3359">
        <v>2735</v>
      </c>
      <c r="JD28" s="3359">
        <v>2560.5</v>
      </c>
      <c r="JE28" s="3359">
        <v>2489</v>
      </c>
      <c r="JF28" s="3359">
        <v>2288</v>
      </c>
      <c r="JG28" s="3359">
        <v>2425</v>
      </c>
      <c r="JH28" s="3360">
        <v>2869</v>
      </c>
      <c r="JI28" s="3361">
        <v>2955</v>
      </c>
      <c r="JJ28" s="3361">
        <f t="shared" si="29"/>
        <v>2821</v>
      </c>
      <c r="JK28" s="3361">
        <f t="shared" si="30"/>
        <v>2698</v>
      </c>
      <c r="JL28" s="3361">
        <f t="shared" si="31"/>
        <v>3162</v>
      </c>
      <c r="JM28" s="3361">
        <f t="shared" si="32"/>
        <v>3040</v>
      </c>
      <c r="JN28" s="3362">
        <f t="shared" si="0"/>
        <v>3118</v>
      </c>
      <c r="JO28" s="3380">
        <f t="shared" si="33"/>
        <v>816</v>
      </c>
      <c r="JP28" s="3378">
        <f t="shared" si="50"/>
        <v>1042</v>
      </c>
      <c r="JQ28" s="3377">
        <f t="shared" si="51"/>
        <v>1404</v>
      </c>
      <c r="JS28" s="4673">
        <f t="shared" si="52"/>
        <v>136</v>
      </c>
      <c r="JT28" s="3579">
        <f t="shared" si="53"/>
        <v>692</v>
      </c>
      <c r="JU28" s="2525"/>
      <c r="JV28" s="3365">
        <f t="shared" si="54"/>
        <v>1087.3333333333333</v>
      </c>
      <c r="JW28" s="3366">
        <f t="shared" si="34"/>
        <v>4.2987384206517893E-3</v>
      </c>
      <c r="JX28" s="3366">
        <f t="shared" si="35"/>
        <v>4.8427781802365026E-3</v>
      </c>
      <c r="JY28" s="3366">
        <f t="shared" si="55"/>
        <v>4.425036390101892E-3</v>
      </c>
      <c r="JZ28" s="3366">
        <f t="shared" si="36"/>
        <v>4.538573508005822E-3</v>
      </c>
      <c r="KA28" s="3366">
        <f t="shared" si="37"/>
        <v>4.275049115913556E-3</v>
      </c>
      <c r="KB28" s="4688">
        <f t="shared" si="38"/>
        <v>3.7082378396845507E-3</v>
      </c>
      <c r="KC28" s="4691">
        <f t="shared" si="56"/>
        <v>2.9348378209456284E-3</v>
      </c>
      <c r="KD28" s="3366"/>
      <c r="KE28" s="3368">
        <f t="shared" si="39"/>
        <v>0.17197924388435881</v>
      </c>
      <c r="KF28" s="3369">
        <f t="shared" si="40"/>
        <v>-0.5969854212997282</v>
      </c>
      <c r="KG28" s="3369">
        <f t="shared" si="41"/>
        <v>-3.8583175205566089E-2</v>
      </c>
      <c r="KH28" s="3369">
        <f t="shared" si="42"/>
        <v>2.5657894736842213E-2</v>
      </c>
      <c r="KI28" s="3369">
        <f t="shared" si="43"/>
        <v>-0.73829377806286078</v>
      </c>
      <c r="KJ28" s="3368">
        <f t="shared" si="44"/>
        <v>-0.66581141757536888</v>
      </c>
      <c r="KK28" s="3369">
        <f t="shared" si="57"/>
        <v>0.27696078431372539</v>
      </c>
      <c r="KL28" s="4678">
        <f t="shared" si="59"/>
        <v>-0.54971135343168698</v>
      </c>
      <c r="KM28" s="4678">
        <f t="shared" si="58"/>
        <v>0.3474088291746642</v>
      </c>
      <c r="KN28" s="3045"/>
      <c r="KO28" s="3045"/>
      <c r="KP28" s="3045"/>
      <c r="KQ28" s="3045"/>
      <c r="KR28" s="3045"/>
      <c r="KS28" s="3045"/>
      <c r="KT28" s="3045"/>
      <c r="KU28" s="3045"/>
      <c r="KV28" s="3045"/>
      <c r="KW28" s="3045"/>
      <c r="KX28" s="3045"/>
      <c r="KY28" s="3045"/>
      <c r="KZ28" s="3045"/>
      <c r="LA28" s="3045"/>
      <c r="LB28" s="3045"/>
      <c r="LC28" s="3045"/>
      <c r="LD28" s="3045"/>
      <c r="LE28" s="3045"/>
      <c r="LF28" s="3045"/>
      <c r="LG28" s="3045"/>
      <c r="LH28" s="3045"/>
      <c r="LI28" s="3045"/>
      <c r="LJ28" s="3045"/>
      <c r="LK28" s="2525"/>
      <c r="LL28" s="2525"/>
      <c r="LM28" s="2525"/>
      <c r="LN28" s="2525"/>
      <c r="LO28" s="2525"/>
      <c r="LP28" s="2525"/>
      <c r="LQ28" s="2525"/>
      <c r="LR28" s="2525"/>
    </row>
    <row r="29" spans="1:330" ht="21.9" customHeight="1">
      <c r="A29" s="3382"/>
      <c r="B29" s="3045"/>
      <c r="C29" s="3381" t="s">
        <v>22</v>
      </c>
      <c r="D29" s="3330">
        <v>113</v>
      </c>
      <c r="E29" s="3331">
        <v>80</v>
      </c>
      <c r="F29" s="3331">
        <v>131</v>
      </c>
      <c r="G29" s="3331">
        <v>89</v>
      </c>
      <c r="H29" s="3331">
        <v>83</v>
      </c>
      <c r="I29" s="3331">
        <v>111</v>
      </c>
      <c r="J29" s="3331">
        <v>125</v>
      </c>
      <c r="K29" s="3331">
        <v>125</v>
      </c>
      <c r="L29" s="3331">
        <v>216</v>
      </c>
      <c r="M29" s="3331">
        <v>145</v>
      </c>
      <c r="N29" s="3331">
        <v>163</v>
      </c>
      <c r="O29" s="3332">
        <v>118</v>
      </c>
      <c r="P29" s="3333">
        <v>101</v>
      </c>
      <c r="Q29" s="3334">
        <v>137</v>
      </c>
      <c r="R29" s="3334">
        <v>136</v>
      </c>
      <c r="S29" s="3334">
        <v>129</v>
      </c>
      <c r="T29" s="3334">
        <v>159</v>
      </c>
      <c r="U29" s="3334">
        <v>162</v>
      </c>
      <c r="V29" s="3334">
        <v>179</v>
      </c>
      <c r="W29" s="3334">
        <v>205</v>
      </c>
      <c r="X29" s="3334">
        <v>213</v>
      </c>
      <c r="Y29" s="3334">
        <v>255</v>
      </c>
      <c r="Z29" s="3334">
        <v>461</v>
      </c>
      <c r="AA29" s="3335">
        <v>158</v>
      </c>
      <c r="AB29" s="3336">
        <v>143</v>
      </c>
      <c r="AC29" s="3337">
        <v>169</v>
      </c>
      <c r="AD29" s="3337">
        <v>150</v>
      </c>
      <c r="AE29" s="3337">
        <v>150</v>
      </c>
      <c r="AF29" s="3337">
        <v>149</v>
      </c>
      <c r="AG29" s="3337">
        <v>148</v>
      </c>
      <c r="AH29" s="3337">
        <v>177</v>
      </c>
      <c r="AI29" s="3337">
        <v>202</v>
      </c>
      <c r="AJ29" s="3337">
        <v>177</v>
      </c>
      <c r="AK29" s="3337">
        <v>142</v>
      </c>
      <c r="AL29" s="3337">
        <v>186</v>
      </c>
      <c r="AM29" s="3338">
        <v>313</v>
      </c>
      <c r="AN29" s="3339">
        <v>183</v>
      </c>
      <c r="AO29" s="3340">
        <v>334</v>
      </c>
      <c r="AP29" s="3340">
        <v>252</v>
      </c>
      <c r="AQ29" s="3340">
        <v>204</v>
      </c>
      <c r="AR29" s="3340">
        <v>152</v>
      </c>
      <c r="AS29" s="3340">
        <v>152</v>
      </c>
      <c r="AT29" s="3340">
        <v>230</v>
      </c>
      <c r="AU29" s="3340">
        <v>176</v>
      </c>
      <c r="AV29" s="3340">
        <v>157</v>
      </c>
      <c r="AW29" s="3340">
        <v>172</v>
      </c>
      <c r="AX29" s="3340">
        <v>217</v>
      </c>
      <c r="AY29" s="3341">
        <v>253</v>
      </c>
      <c r="AZ29" s="3277">
        <v>153</v>
      </c>
      <c r="BA29" s="3277">
        <v>142</v>
      </c>
      <c r="BB29" s="3277">
        <v>164</v>
      </c>
      <c r="BC29" s="3277">
        <v>293</v>
      </c>
      <c r="BD29" s="3277">
        <v>171</v>
      </c>
      <c r="BE29" s="3277">
        <v>173</v>
      </c>
      <c r="BF29" s="3277">
        <v>231</v>
      </c>
      <c r="BG29" s="3277">
        <v>197</v>
      </c>
      <c r="BH29" s="3277">
        <v>245</v>
      </c>
      <c r="BI29" s="3277">
        <v>280</v>
      </c>
      <c r="BJ29" s="3277">
        <v>283</v>
      </c>
      <c r="BK29" s="3374">
        <v>243</v>
      </c>
      <c r="BL29" s="3344">
        <v>268</v>
      </c>
      <c r="BM29" s="3345">
        <v>150</v>
      </c>
      <c r="BN29" s="3345">
        <v>224</v>
      </c>
      <c r="BO29" s="3345">
        <v>227</v>
      </c>
      <c r="BP29" s="3345">
        <v>202</v>
      </c>
      <c r="BQ29" s="3345">
        <v>282</v>
      </c>
      <c r="BR29" s="3345">
        <v>254</v>
      </c>
      <c r="BS29" s="3345">
        <v>203</v>
      </c>
      <c r="BT29" s="3346">
        <v>282</v>
      </c>
      <c r="BU29" s="3346">
        <v>257</v>
      </c>
      <c r="BV29" s="3346">
        <v>199</v>
      </c>
      <c r="BW29" s="3347">
        <v>315</v>
      </c>
      <c r="BX29" s="3348">
        <v>272</v>
      </c>
      <c r="BY29" s="3273">
        <v>189</v>
      </c>
      <c r="BZ29" s="3273">
        <v>443</v>
      </c>
      <c r="CA29" s="3273">
        <v>360</v>
      </c>
      <c r="CB29" s="3273">
        <v>387</v>
      </c>
      <c r="CC29" s="3273">
        <v>395</v>
      </c>
      <c r="CD29" s="3273">
        <v>479</v>
      </c>
      <c r="CE29" s="3273">
        <v>345</v>
      </c>
      <c r="CF29" s="3273">
        <v>386</v>
      </c>
      <c r="CG29" s="3273">
        <v>394</v>
      </c>
      <c r="CH29" s="3273">
        <v>424</v>
      </c>
      <c r="CI29" s="3275">
        <v>430</v>
      </c>
      <c r="CJ29" s="3349">
        <v>349</v>
      </c>
      <c r="CK29" s="3350">
        <v>333</v>
      </c>
      <c r="CL29" s="3350">
        <v>286</v>
      </c>
      <c r="CM29" s="3350">
        <v>303</v>
      </c>
      <c r="CN29" s="3350">
        <v>228</v>
      </c>
      <c r="CO29" s="3350">
        <v>316</v>
      </c>
      <c r="CP29" s="3350">
        <v>267</v>
      </c>
      <c r="CQ29" s="3350">
        <v>252</v>
      </c>
      <c r="CR29" s="3350">
        <v>253</v>
      </c>
      <c r="CS29" s="3350">
        <v>338</v>
      </c>
      <c r="CT29" s="3350">
        <v>304</v>
      </c>
      <c r="CU29" s="3351">
        <v>275</v>
      </c>
      <c r="CV29" s="3349">
        <v>278</v>
      </c>
      <c r="CW29" s="3350">
        <v>193</v>
      </c>
      <c r="CX29" s="3272">
        <v>249</v>
      </c>
      <c r="CY29" s="3272">
        <v>229</v>
      </c>
      <c r="CZ29" s="3272">
        <v>231</v>
      </c>
      <c r="DA29" s="3272">
        <v>190</v>
      </c>
      <c r="DB29" s="3272">
        <v>322</v>
      </c>
      <c r="DC29" s="3272">
        <v>196</v>
      </c>
      <c r="DD29" s="3272">
        <v>227</v>
      </c>
      <c r="DE29" s="3272">
        <v>228</v>
      </c>
      <c r="DF29" s="3272">
        <v>256</v>
      </c>
      <c r="DG29" s="3351">
        <v>262</v>
      </c>
      <c r="DH29" s="3352">
        <v>237</v>
      </c>
      <c r="DI29" s="3353">
        <v>168</v>
      </c>
      <c r="DJ29" s="3353">
        <v>204</v>
      </c>
      <c r="DK29" s="3354">
        <v>199</v>
      </c>
      <c r="DL29" s="3354">
        <v>158</v>
      </c>
      <c r="DM29" s="3354">
        <v>188</v>
      </c>
      <c r="DN29" s="3354">
        <v>339</v>
      </c>
      <c r="DO29" s="3354">
        <v>179</v>
      </c>
      <c r="DP29" s="2556">
        <v>191</v>
      </c>
      <c r="DQ29" s="3354">
        <v>315</v>
      </c>
      <c r="DR29" s="3354">
        <v>275</v>
      </c>
      <c r="DS29" s="3355">
        <v>226</v>
      </c>
      <c r="DT29" s="3356">
        <v>390</v>
      </c>
      <c r="DU29" s="3243">
        <v>471</v>
      </c>
      <c r="DV29" s="3243">
        <v>444</v>
      </c>
      <c r="DW29" s="3164">
        <v>759</v>
      </c>
      <c r="DX29" s="3164">
        <v>521</v>
      </c>
      <c r="DY29" s="3164">
        <v>439</v>
      </c>
      <c r="DZ29" s="3164">
        <v>488</v>
      </c>
      <c r="EA29" s="3164">
        <v>356</v>
      </c>
      <c r="EB29" s="3164">
        <v>426</v>
      </c>
      <c r="EC29" s="3164">
        <v>447</v>
      </c>
      <c r="ED29" s="3164">
        <v>495</v>
      </c>
      <c r="EE29" s="3163">
        <v>605</v>
      </c>
      <c r="EF29" s="2532">
        <v>506</v>
      </c>
      <c r="EG29" s="2531">
        <v>426</v>
      </c>
      <c r="EH29" s="2531">
        <v>456</v>
      </c>
      <c r="EI29" s="2531">
        <v>390</v>
      </c>
      <c r="EJ29" s="2531">
        <v>427</v>
      </c>
      <c r="EK29" s="2531">
        <v>471</v>
      </c>
      <c r="EL29" s="2531">
        <v>587</v>
      </c>
      <c r="EM29" s="2557">
        <v>397</v>
      </c>
      <c r="EN29" s="2557">
        <v>461</v>
      </c>
      <c r="EO29" s="2558">
        <v>502</v>
      </c>
      <c r="EP29" s="2558">
        <v>499</v>
      </c>
      <c r="EQ29" s="2559">
        <v>531</v>
      </c>
      <c r="ER29" s="1323">
        <v>495</v>
      </c>
      <c r="ES29" s="3357">
        <v>377</v>
      </c>
      <c r="ET29" s="3357">
        <v>451</v>
      </c>
      <c r="EU29" s="2560">
        <v>422</v>
      </c>
      <c r="EV29" s="2107">
        <v>387</v>
      </c>
      <c r="EW29" s="2107">
        <v>474</v>
      </c>
      <c r="EX29" s="2107">
        <v>548</v>
      </c>
      <c r="EY29" s="2107">
        <v>402</v>
      </c>
      <c r="EZ29" s="2107">
        <v>511</v>
      </c>
      <c r="FA29" s="2275">
        <v>346</v>
      </c>
      <c r="FB29" s="2275">
        <v>543</v>
      </c>
      <c r="FC29" s="2275">
        <v>517</v>
      </c>
      <c r="FD29" s="2608">
        <v>505</v>
      </c>
      <c r="FE29" s="2609">
        <v>402</v>
      </c>
      <c r="FF29" s="2609">
        <v>207</v>
      </c>
      <c r="FG29" s="2609"/>
      <c r="FH29" s="2609">
        <v>1</v>
      </c>
      <c r="FI29" s="2609">
        <v>2</v>
      </c>
      <c r="FJ29" s="2609">
        <v>1</v>
      </c>
      <c r="FK29" s="2609">
        <v>5</v>
      </c>
      <c r="FL29" s="2609">
        <v>3</v>
      </c>
      <c r="FM29" s="2609">
        <v>9</v>
      </c>
      <c r="FN29" s="2609">
        <v>56</v>
      </c>
      <c r="FO29" s="2610">
        <v>61</v>
      </c>
      <c r="FP29" s="2608">
        <v>43</v>
      </c>
      <c r="FQ29" s="2609">
        <v>33</v>
      </c>
      <c r="FR29" s="2609">
        <v>81</v>
      </c>
      <c r="FS29" s="2609">
        <v>34</v>
      </c>
      <c r="FT29" s="2609">
        <v>41</v>
      </c>
      <c r="FU29" s="2609">
        <v>78</v>
      </c>
      <c r="FV29" s="2609">
        <v>99</v>
      </c>
      <c r="FW29" s="2609">
        <v>86</v>
      </c>
      <c r="FX29" s="2609">
        <v>117</v>
      </c>
      <c r="FY29" s="2609">
        <v>136</v>
      </c>
      <c r="FZ29" s="2609">
        <v>140</v>
      </c>
      <c r="GA29" s="2610">
        <v>137</v>
      </c>
      <c r="GB29" s="4659">
        <v>216</v>
      </c>
      <c r="GC29" s="4660">
        <v>257</v>
      </c>
      <c r="GD29" s="4660">
        <v>306</v>
      </c>
      <c r="GE29" s="4660">
        <v>559</v>
      </c>
      <c r="GF29" s="4660">
        <v>427</v>
      </c>
      <c r="GG29" s="4660"/>
      <c r="GH29" s="4660"/>
      <c r="GI29" s="4660"/>
      <c r="GJ29" s="4660"/>
      <c r="GK29" s="4660"/>
      <c r="GL29" s="4660"/>
      <c r="GM29" s="4661"/>
      <c r="GN29" s="2607"/>
      <c r="GO29" s="2754">
        <v>324</v>
      </c>
      <c r="GP29" s="2755">
        <v>283</v>
      </c>
      <c r="GQ29" s="2755">
        <v>466</v>
      </c>
      <c r="GR29" s="2756">
        <v>426</v>
      </c>
      <c r="GS29" s="2757">
        <v>374</v>
      </c>
      <c r="GT29" s="2758">
        <v>450</v>
      </c>
      <c r="GU29" s="2758">
        <v>597</v>
      </c>
      <c r="GV29" s="2759">
        <v>874</v>
      </c>
      <c r="GW29" s="2760">
        <v>462</v>
      </c>
      <c r="GX29" s="2761">
        <v>447</v>
      </c>
      <c r="GY29" s="2762">
        <v>556</v>
      </c>
      <c r="GZ29" s="2762">
        <v>641</v>
      </c>
      <c r="HA29" s="2763">
        <v>769</v>
      </c>
      <c r="HB29" s="2764">
        <v>508</v>
      </c>
      <c r="HC29" s="2764">
        <v>563</v>
      </c>
      <c r="HD29" s="2765">
        <v>642</v>
      </c>
      <c r="HE29" s="2766">
        <v>459</v>
      </c>
      <c r="HF29" s="2767">
        <v>637</v>
      </c>
      <c r="HG29" s="2767">
        <v>673</v>
      </c>
      <c r="HH29" s="2768">
        <v>806</v>
      </c>
      <c r="HI29" s="2764">
        <v>642</v>
      </c>
      <c r="HJ29" s="2764">
        <v>711</v>
      </c>
      <c r="HK29" s="2764">
        <v>739</v>
      </c>
      <c r="HL29" s="2764">
        <v>771</v>
      </c>
      <c r="HM29" s="2769">
        <v>904</v>
      </c>
      <c r="HN29" s="2769">
        <v>1142</v>
      </c>
      <c r="HO29" s="2769">
        <v>1210</v>
      </c>
      <c r="HP29" s="2769">
        <v>1248</v>
      </c>
      <c r="HQ29" s="2770">
        <v>968</v>
      </c>
      <c r="HR29" s="2770">
        <v>847</v>
      </c>
      <c r="HS29" s="2770">
        <f t="shared" si="1"/>
        <v>772</v>
      </c>
      <c r="HT29" s="2770">
        <v>917</v>
      </c>
      <c r="HU29" s="2771">
        <v>720</v>
      </c>
      <c r="HV29" s="2771">
        <f t="shared" si="2"/>
        <v>650</v>
      </c>
      <c r="HW29" s="2771">
        <f t="shared" si="3"/>
        <v>745</v>
      </c>
      <c r="HX29" s="2770">
        <f t="shared" si="4"/>
        <v>746</v>
      </c>
      <c r="HY29" s="2689">
        <f t="shared" si="5"/>
        <v>609</v>
      </c>
      <c r="HZ29" s="2689">
        <f t="shared" si="6"/>
        <v>545</v>
      </c>
      <c r="IA29" s="2689">
        <f t="shared" si="7"/>
        <v>744</v>
      </c>
      <c r="IB29" s="2689">
        <f t="shared" si="8"/>
        <v>816</v>
      </c>
      <c r="IC29" s="2764">
        <f t="shared" si="9"/>
        <v>1305</v>
      </c>
      <c r="ID29" s="2764">
        <f t="shared" si="10"/>
        <v>1719</v>
      </c>
      <c r="IE29" s="2764">
        <f t="shared" si="11"/>
        <v>1270</v>
      </c>
      <c r="IF29" s="2764">
        <f t="shared" si="12"/>
        <v>1547</v>
      </c>
      <c r="IG29" s="2772">
        <f t="shared" si="13"/>
        <v>1388</v>
      </c>
      <c r="IH29" s="2769">
        <f t="shared" si="14"/>
        <v>1288</v>
      </c>
      <c r="II29" s="2769">
        <f t="shared" si="15"/>
        <v>1445</v>
      </c>
      <c r="IJ29" s="2769">
        <f t="shared" si="16"/>
        <v>1532</v>
      </c>
      <c r="IK29" s="2773">
        <f t="shared" si="17"/>
        <v>1323</v>
      </c>
      <c r="IL29" s="2774">
        <f t="shared" si="18"/>
        <v>1283</v>
      </c>
      <c r="IM29" s="2774">
        <f t="shared" si="19"/>
        <v>1461</v>
      </c>
      <c r="IN29" s="2774">
        <f t="shared" si="20"/>
        <v>1406</v>
      </c>
      <c r="IO29" s="2775">
        <f t="shared" si="21"/>
        <v>1114</v>
      </c>
      <c r="IP29" s="2776">
        <f t="shared" si="22"/>
        <v>3</v>
      </c>
      <c r="IQ29" s="2776">
        <f t="shared" si="60"/>
        <v>9</v>
      </c>
      <c r="IR29" s="2777">
        <f t="shared" si="24"/>
        <v>126</v>
      </c>
      <c r="IS29" s="2772">
        <f t="shared" si="25"/>
        <v>157</v>
      </c>
      <c r="IT29" s="2769">
        <f t="shared" si="26"/>
        <v>153</v>
      </c>
      <c r="IU29" s="2769">
        <f t="shared" si="27"/>
        <v>302</v>
      </c>
      <c r="IV29" s="2769">
        <f t="shared" si="28"/>
        <v>413</v>
      </c>
      <c r="IW29" s="3961">
        <f t="shared" si="46"/>
        <v>779</v>
      </c>
      <c r="IX29" s="3953">
        <f t="shared" si="47"/>
        <v>986</v>
      </c>
      <c r="IY29" s="3953">
        <f t="shared" si="48"/>
        <v>0</v>
      </c>
      <c r="IZ29" s="3962">
        <f t="shared" si="49"/>
        <v>0</v>
      </c>
      <c r="JA29" s="3957"/>
      <c r="JB29" s="3358">
        <v>1499</v>
      </c>
      <c r="JC29" s="3359">
        <v>2295</v>
      </c>
      <c r="JD29" s="3359">
        <v>2106</v>
      </c>
      <c r="JE29" s="3359">
        <v>2482</v>
      </c>
      <c r="JF29" s="3359">
        <v>2575</v>
      </c>
      <c r="JG29" s="3359">
        <v>2863</v>
      </c>
      <c r="JH29" s="3360">
        <v>4504</v>
      </c>
      <c r="JI29" s="3361">
        <v>3504</v>
      </c>
      <c r="JJ29" s="3361">
        <f t="shared" si="29"/>
        <v>2861</v>
      </c>
      <c r="JK29" s="3361">
        <f t="shared" si="30"/>
        <v>2679</v>
      </c>
      <c r="JL29" s="3361">
        <f t="shared" si="31"/>
        <v>5841</v>
      </c>
      <c r="JM29" s="3361">
        <f t="shared" si="32"/>
        <v>5653</v>
      </c>
      <c r="JN29" s="3362">
        <f t="shared" si="0"/>
        <v>5473</v>
      </c>
      <c r="JO29" s="3380">
        <f t="shared" si="33"/>
        <v>1252</v>
      </c>
      <c r="JP29" s="3378">
        <f t="shared" si="50"/>
        <v>1025</v>
      </c>
      <c r="JQ29" s="3377">
        <f t="shared" si="51"/>
        <v>2558</v>
      </c>
      <c r="JS29" s="4673">
        <f t="shared" si="52"/>
        <v>76</v>
      </c>
      <c r="JT29" s="3579">
        <f t="shared" si="53"/>
        <v>1765</v>
      </c>
      <c r="JU29" s="2525"/>
      <c r="JV29" s="3365">
        <f t="shared" si="54"/>
        <v>1611.6666666666667</v>
      </c>
      <c r="JW29" s="3366">
        <f t="shared" si="34"/>
        <v>4.2684656148725512E-3</v>
      </c>
      <c r="JX29" s="3366">
        <f t="shared" si="35"/>
        <v>8.9458151014425724E-3</v>
      </c>
      <c r="JY29" s="3366">
        <f t="shared" si="55"/>
        <v>8.2285298398835516E-3</v>
      </c>
      <c r="JZ29" s="3366">
        <f t="shared" si="36"/>
        <v>7.9665211062590977E-3</v>
      </c>
      <c r="KA29" s="3366">
        <f t="shared" si="37"/>
        <v>6.5592665356908973E-3</v>
      </c>
      <c r="KB29" s="4688">
        <f t="shared" si="38"/>
        <v>3.6477387578470869E-3</v>
      </c>
      <c r="KC29" s="4691">
        <f t="shared" si="56"/>
        <v>5.3470905598140437E-3</v>
      </c>
      <c r="KD29" s="3366"/>
      <c r="KE29" s="3368">
        <f t="shared" si="39"/>
        <v>1.1802911534154537</v>
      </c>
      <c r="KF29" s="3369">
        <f t="shared" si="40"/>
        <v>-0.39840736593256187</v>
      </c>
      <c r="KG29" s="3369">
        <f t="shared" si="41"/>
        <v>-3.218626947440506E-2</v>
      </c>
      <c r="KH29" s="3369">
        <f t="shared" si="42"/>
        <v>-3.184150008844866E-2</v>
      </c>
      <c r="KI29" s="3369">
        <f t="shared" si="43"/>
        <v>-0.77124063584871183</v>
      </c>
      <c r="KJ29" s="3368">
        <f t="shared" si="44"/>
        <v>-0.81271697423716427</v>
      </c>
      <c r="KK29" s="3369">
        <f t="shared" si="57"/>
        <v>-0.18130990415335468</v>
      </c>
      <c r="KL29" s="4678">
        <f t="shared" si="59"/>
        <v>-0.53261465375479622</v>
      </c>
      <c r="KM29" s="4678">
        <f t="shared" si="58"/>
        <v>1.495609756097561</v>
      </c>
      <c r="KN29" s="3045"/>
      <c r="KO29" s="3045"/>
      <c r="KP29" s="3045"/>
      <c r="KQ29" s="3045"/>
      <c r="KR29" s="3045"/>
      <c r="KS29" s="3045"/>
      <c r="KT29" s="3045"/>
      <c r="KU29" s="3045"/>
      <c r="KV29" s="3045"/>
      <c r="KW29" s="3045"/>
      <c r="KX29" s="3045"/>
      <c r="KY29" s="3045"/>
      <c r="KZ29" s="3045"/>
      <c r="LA29" s="3045"/>
      <c r="LB29" s="3045"/>
      <c r="LC29" s="3045"/>
      <c r="LD29" s="3045"/>
      <c r="LE29" s="3045"/>
      <c r="LF29" s="3045"/>
      <c r="LG29" s="3045"/>
      <c r="LH29" s="3045"/>
      <c r="LI29" s="3045"/>
      <c r="LJ29" s="3045"/>
      <c r="LK29" s="2525"/>
      <c r="LL29" s="2525"/>
      <c r="LM29" s="2525"/>
      <c r="LN29" s="2525"/>
      <c r="LO29" s="2525"/>
      <c r="LP29" s="2525"/>
      <c r="LQ29" s="2525"/>
      <c r="LR29" s="2525"/>
    </row>
    <row r="30" spans="1:330" ht="21.9" customHeight="1">
      <c r="A30" s="3382"/>
      <c r="B30" s="3045"/>
      <c r="C30" s="3381" t="s">
        <v>26</v>
      </c>
      <c r="D30" s="3330">
        <v>78</v>
      </c>
      <c r="E30" s="3331">
        <v>103</v>
      </c>
      <c r="F30" s="3331">
        <v>184</v>
      </c>
      <c r="G30" s="3331">
        <v>112</v>
      </c>
      <c r="H30" s="3331">
        <v>114</v>
      </c>
      <c r="I30" s="3331">
        <v>148</v>
      </c>
      <c r="J30" s="3331">
        <v>197</v>
      </c>
      <c r="K30" s="3331">
        <v>193</v>
      </c>
      <c r="L30" s="3331">
        <v>181</v>
      </c>
      <c r="M30" s="3331">
        <v>180</v>
      </c>
      <c r="N30" s="3331">
        <v>90</v>
      </c>
      <c r="O30" s="3332">
        <v>80</v>
      </c>
      <c r="P30" s="3333">
        <v>155</v>
      </c>
      <c r="Q30" s="3334">
        <v>173</v>
      </c>
      <c r="R30" s="3334">
        <v>175</v>
      </c>
      <c r="S30" s="3334">
        <v>248</v>
      </c>
      <c r="T30" s="3334">
        <v>167</v>
      </c>
      <c r="U30" s="3334">
        <v>202</v>
      </c>
      <c r="V30" s="3334">
        <v>236</v>
      </c>
      <c r="W30" s="3334">
        <v>262</v>
      </c>
      <c r="X30" s="3334">
        <v>246</v>
      </c>
      <c r="Y30" s="3334">
        <v>170</v>
      </c>
      <c r="Z30" s="3334">
        <v>145</v>
      </c>
      <c r="AA30" s="3335">
        <v>145</v>
      </c>
      <c r="AB30" s="3336">
        <v>130</v>
      </c>
      <c r="AC30" s="3337">
        <v>123</v>
      </c>
      <c r="AD30" s="3337">
        <v>218</v>
      </c>
      <c r="AE30" s="3337">
        <v>241</v>
      </c>
      <c r="AF30" s="3337">
        <v>241</v>
      </c>
      <c r="AG30" s="3337">
        <v>241</v>
      </c>
      <c r="AH30" s="3337">
        <v>289</v>
      </c>
      <c r="AI30" s="3337">
        <v>236</v>
      </c>
      <c r="AJ30" s="3337">
        <v>213</v>
      </c>
      <c r="AK30" s="3337">
        <v>154</v>
      </c>
      <c r="AL30" s="3337">
        <v>149</v>
      </c>
      <c r="AM30" s="3338">
        <v>91</v>
      </c>
      <c r="AN30" s="3339">
        <v>175</v>
      </c>
      <c r="AO30" s="3340">
        <v>112</v>
      </c>
      <c r="AP30" s="3340">
        <v>279</v>
      </c>
      <c r="AQ30" s="3340">
        <v>168</v>
      </c>
      <c r="AR30" s="3340">
        <v>152</v>
      </c>
      <c r="AS30" s="3340">
        <v>226</v>
      </c>
      <c r="AT30" s="3340">
        <v>249</v>
      </c>
      <c r="AU30" s="3340">
        <v>261</v>
      </c>
      <c r="AV30" s="3340">
        <v>217</v>
      </c>
      <c r="AW30" s="3340">
        <v>88</v>
      </c>
      <c r="AX30" s="3340">
        <v>87</v>
      </c>
      <c r="AY30" s="3341">
        <v>78</v>
      </c>
      <c r="AZ30" s="3277">
        <v>118</v>
      </c>
      <c r="BA30" s="3277">
        <v>139</v>
      </c>
      <c r="BB30" s="3277">
        <v>125</v>
      </c>
      <c r="BC30" s="3277">
        <v>217</v>
      </c>
      <c r="BD30" s="3277">
        <v>175</v>
      </c>
      <c r="BE30" s="3277">
        <v>150</v>
      </c>
      <c r="BF30" s="3277">
        <v>262</v>
      </c>
      <c r="BG30" s="3277">
        <v>198</v>
      </c>
      <c r="BH30" s="3277">
        <v>219</v>
      </c>
      <c r="BI30" s="3277">
        <v>271</v>
      </c>
      <c r="BJ30" s="3277">
        <v>98</v>
      </c>
      <c r="BK30" s="3374">
        <v>86</v>
      </c>
      <c r="BL30" s="3344">
        <v>133</v>
      </c>
      <c r="BM30" s="3345">
        <v>119</v>
      </c>
      <c r="BN30" s="3345">
        <v>163</v>
      </c>
      <c r="BO30" s="3345">
        <v>213</v>
      </c>
      <c r="BP30" s="3345">
        <v>210</v>
      </c>
      <c r="BQ30" s="3345">
        <v>203</v>
      </c>
      <c r="BR30" s="3345">
        <v>253</v>
      </c>
      <c r="BS30" s="3345">
        <v>221</v>
      </c>
      <c r="BT30" s="3346">
        <v>326</v>
      </c>
      <c r="BU30" s="3346">
        <v>176</v>
      </c>
      <c r="BV30" s="3346">
        <v>131</v>
      </c>
      <c r="BW30" s="3347">
        <v>106</v>
      </c>
      <c r="BX30" s="3348">
        <v>135</v>
      </c>
      <c r="BY30" s="3273">
        <v>152</v>
      </c>
      <c r="BZ30" s="3273">
        <v>185</v>
      </c>
      <c r="CA30" s="3273">
        <v>132</v>
      </c>
      <c r="CB30" s="3273">
        <v>195</v>
      </c>
      <c r="CC30" s="3273">
        <v>177</v>
      </c>
      <c r="CD30" s="3273">
        <v>258</v>
      </c>
      <c r="CE30" s="3273">
        <v>175</v>
      </c>
      <c r="CF30" s="3273">
        <v>275</v>
      </c>
      <c r="CG30" s="3273">
        <v>119</v>
      </c>
      <c r="CH30" s="3273">
        <v>118</v>
      </c>
      <c r="CI30" s="3275">
        <v>86</v>
      </c>
      <c r="CJ30" s="3349">
        <v>153</v>
      </c>
      <c r="CK30" s="3350">
        <v>143</v>
      </c>
      <c r="CL30" s="3350">
        <v>161</v>
      </c>
      <c r="CM30" s="3350">
        <v>201</v>
      </c>
      <c r="CN30" s="3350">
        <v>206</v>
      </c>
      <c r="CO30" s="3350">
        <v>181</v>
      </c>
      <c r="CP30" s="3350">
        <v>278</v>
      </c>
      <c r="CQ30" s="3350">
        <v>198</v>
      </c>
      <c r="CR30" s="3350">
        <v>227</v>
      </c>
      <c r="CS30" s="3350">
        <v>207</v>
      </c>
      <c r="CT30" s="3350">
        <v>126</v>
      </c>
      <c r="CU30" s="3351">
        <v>73</v>
      </c>
      <c r="CV30" s="3349">
        <v>204</v>
      </c>
      <c r="CW30" s="3350">
        <v>104</v>
      </c>
      <c r="CX30" s="3272">
        <v>171</v>
      </c>
      <c r="CY30" s="3272">
        <v>264</v>
      </c>
      <c r="CZ30" s="3272">
        <v>250</v>
      </c>
      <c r="DA30" s="3272">
        <v>188</v>
      </c>
      <c r="DB30" s="3272">
        <v>204</v>
      </c>
      <c r="DC30" s="3272">
        <v>170</v>
      </c>
      <c r="DD30" s="3272">
        <v>298</v>
      </c>
      <c r="DE30" s="3272">
        <v>111</v>
      </c>
      <c r="DF30" s="3272">
        <v>147</v>
      </c>
      <c r="DG30" s="3351">
        <v>77</v>
      </c>
      <c r="DH30" s="3352">
        <v>124</v>
      </c>
      <c r="DI30" s="3353">
        <v>147</v>
      </c>
      <c r="DJ30" s="3353">
        <v>120</v>
      </c>
      <c r="DK30" s="3354">
        <v>273</v>
      </c>
      <c r="DL30" s="3354">
        <v>157</v>
      </c>
      <c r="DM30" s="3354">
        <v>220</v>
      </c>
      <c r="DN30" s="3354">
        <v>209</v>
      </c>
      <c r="DO30" s="3354">
        <v>188</v>
      </c>
      <c r="DP30" s="2556">
        <v>175</v>
      </c>
      <c r="DQ30" s="3354">
        <v>245</v>
      </c>
      <c r="DR30" s="3354">
        <v>107</v>
      </c>
      <c r="DS30" s="3355">
        <v>136</v>
      </c>
      <c r="DT30" s="3356">
        <v>102</v>
      </c>
      <c r="DU30" s="3243">
        <v>109</v>
      </c>
      <c r="DV30" s="3243">
        <v>146</v>
      </c>
      <c r="DW30" s="3164">
        <v>271</v>
      </c>
      <c r="DX30" s="3164">
        <v>156</v>
      </c>
      <c r="DY30" s="3164">
        <v>142</v>
      </c>
      <c r="DZ30" s="3164">
        <v>179</v>
      </c>
      <c r="EA30" s="3164">
        <v>186</v>
      </c>
      <c r="EB30" s="3164">
        <v>144</v>
      </c>
      <c r="EC30" s="3164">
        <v>117</v>
      </c>
      <c r="ED30" s="3164">
        <v>104</v>
      </c>
      <c r="EE30" s="3163">
        <v>119</v>
      </c>
      <c r="EF30" s="2532">
        <v>145</v>
      </c>
      <c r="EG30" s="2531">
        <v>134</v>
      </c>
      <c r="EH30" s="2531">
        <v>200</v>
      </c>
      <c r="EI30" s="2531">
        <v>232</v>
      </c>
      <c r="EJ30" s="2531">
        <v>249</v>
      </c>
      <c r="EK30" s="2531">
        <v>206</v>
      </c>
      <c r="EL30" s="2531">
        <v>241</v>
      </c>
      <c r="EM30" s="2557">
        <v>250</v>
      </c>
      <c r="EN30" s="2557">
        <v>307</v>
      </c>
      <c r="EO30" s="2558">
        <v>141</v>
      </c>
      <c r="EP30" s="2558">
        <v>72</v>
      </c>
      <c r="EQ30" s="2559">
        <v>230</v>
      </c>
      <c r="ER30" s="1323">
        <v>127</v>
      </c>
      <c r="ES30" s="3357">
        <v>102</v>
      </c>
      <c r="ET30" s="3357">
        <v>181</v>
      </c>
      <c r="EU30" s="2560">
        <v>326</v>
      </c>
      <c r="EV30" s="2107">
        <v>267</v>
      </c>
      <c r="EW30" s="2107">
        <v>227</v>
      </c>
      <c r="EX30" s="2107">
        <v>312</v>
      </c>
      <c r="EY30" s="2107">
        <v>221</v>
      </c>
      <c r="EZ30" s="2107">
        <v>232</v>
      </c>
      <c r="FA30" s="2275">
        <v>262</v>
      </c>
      <c r="FB30" s="2275">
        <v>139</v>
      </c>
      <c r="FC30" s="2275">
        <v>165</v>
      </c>
      <c r="FD30" s="2615">
        <v>173</v>
      </c>
      <c r="FE30" s="2616">
        <v>113</v>
      </c>
      <c r="FF30" s="2616">
        <v>75</v>
      </c>
      <c r="FG30" s="2616"/>
      <c r="FH30" s="2616"/>
      <c r="FI30" s="2616">
        <v>1</v>
      </c>
      <c r="FJ30" s="2616">
        <v>5</v>
      </c>
      <c r="FK30" s="2616">
        <v>12</v>
      </c>
      <c r="FL30" s="2616">
        <v>7</v>
      </c>
      <c r="FM30" s="2616">
        <v>12</v>
      </c>
      <c r="FN30" s="2616">
        <v>24</v>
      </c>
      <c r="FO30" s="2617">
        <v>21</v>
      </c>
      <c r="FP30" s="2615">
        <v>28</v>
      </c>
      <c r="FQ30" s="2616">
        <v>7</v>
      </c>
      <c r="FR30" s="2616">
        <v>24</v>
      </c>
      <c r="FS30" s="2616">
        <v>46</v>
      </c>
      <c r="FT30" s="2616">
        <v>42</v>
      </c>
      <c r="FU30" s="2616">
        <v>71</v>
      </c>
      <c r="FV30" s="2616">
        <v>116</v>
      </c>
      <c r="FW30" s="2616">
        <v>171</v>
      </c>
      <c r="FX30" s="2616">
        <v>162</v>
      </c>
      <c r="FY30" s="2616">
        <v>101</v>
      </c>
      <c r="FZ30" s="2616">
        <v>203</v>
      </c>
      <c r="GA30" s="2617">
        <v>128</v>
      </c>
      <c r="GB30" s="4659">
        <v>134</v>
      </c>
      <c r="GC30" s="4660">
        <v>123</v>
      </c>
      <c r="GD30" s="4660">
        <v>253</v>
      </c>
      <c r="GE30" s="4660">
        <v>476</v>
      </c>
      <c r="GF30" s="4660">
        <v>352</v>
      </c>
      <c r="GG30" s="4660"/>
      <c r="GH30" s="4660"/>
      <c r="GI30" s="4660"/>
      <c r="GJ30" s="4660"/>
      <c r="GK30" s="4660"/>
      <c r="GL30" s="4660"/>
      <c r="GM30" s="4661"/>
      <c r="GN30" s="2607"/>
      <c r="GO30" s="2754">
        <v>365</v>
      </c>
      <c r="GP30" s="2755">
        <v>374</v>
      </c>
      <c r="GQ30" s="2755">
        <v>571</v>
      </c>
      <c r="GR30" s="2756">
        <v>350</v>
      </c>
      <c r="GS30" s="2757">
        <v>503</v>
      </c>
      <c r="GT30" s="2758">
        <v>617</v>
      </c>
      <c r="GU30" s="2758">
        <v>744</v>
      </c>
      <c r="GV30" s="2759">
        <v>460</v>
      </c>
      <c r="GW30" s="2760">
        <v>471</v>
      </c>
      <c r="GX30" s="2761">
        <v>723</v>
      </c>
      <c r="GY30" s="2762">
        <v>738</v>
      </c>
      <c r="GZ30" s="2762">
        <v>394</v>
      </c>
      <c r="HA30" s="2763">
        <v>566</v>
      </c>
      <c r="HB30" s="2764">
        <v>546</v>
      </c>
      <c r="HC30" s="2764">
        <v>727</v>
      </c>
      <c r="HD30" s="2765">
        <v>253</v>
      </c>
      <c r="HE30" s="2766">
        <v>382</v>
      </c>
      <c r="HF30" s="2767">
        <v>542</v>
      </c>
      <c r="HG30" s="2767">
        <v>679</v>
      </c>
      <c r="HH30" s="2768">
        <v>455</v>
      </c>
      <c r="HI30" s="2764">
        <v>415</v>
      </c>
      <c r="HJ30" s="2764">
        <v>626</v>
      </c>
      <c r="HK30" s="2764">
        <v>800</v>
      </c>
      <c r="HL30" s="2764">
        <v>413</v>
      </c>
      <c r="HM30" s="2769">
        <v>472</v>
      </c>
      <c r="HN30" s="2769">
        <v>504</v>
      </c>
      <c r="HO30" s="2769">
        <v>708</v>
      </c>
      <c r="HP30" s="2769">
        <v>323</v>
      </c>
      <c r="HQ30" s="2770">
        <v>457</v>
      </c>
      <c r="HR30" s="2770">
        <v>588</v>
      </c>
      <c r="HS30" s="2770">
        <f t="shared" si="1"/>
        <v>703</v>
      </c>
      <c r="HT30" s="2770">
        <v>406</v>
      </c>
      <c r="HU30" s="2771">
        <v>479</v>
      </c>
      <c r="HV30" s="2771">
        <f t="shared" si="2"/>
        <v>702</v>
      </c>
      <c r="HW30" s="2771">
        <f t="shared" si="3"/>
        <v>672</v>
      </c>
      <c r="HX30" s="2770">
        <f t="shared" si="4"/>
        <v>335</v>
      </c>
      <c r="HY30" s="2689">
        <f t="shared" si="5"/>
        <v>391</v>
      </c>
      <c r="HZ30" s="2689">
        <f t="shared" si="6"/>
        <v>650</v>
      </c>
      <c r="IA30" s="2689">
        <f t="shared" si="7"/>
        <v>533</v>
      </c>
      <c r="IB30" s="2689">
        <f t="shared" si="8"/>
        <v>488</v>
      </c>
      <c r="IC30" s="2764">
        <f t="shared" si="9"/>
        <v>357</v>
      </c>
      <c r="ID30" s="2764">
        <f t="shared" si="10"/>
        <v>569</v>
      </c>
      <c r="IE30" s="2764">
        <f t="shared" si="11"/>
        <v>509</v>
      </c>
      <c r="IF30" s="2764">
        <f t="shared" si="12"/>
        <v>340</v>
      </c>
      <c r="IG30" s="2772">
        <f t="shared" si="13"/>
        <v>479</v>
      </c>
      <c r="IH30" s="2769">
        <f t="shared" si="14"/>
        <v>687</v>
      </c>
      <c r="II30" s="2769">
        <f t="shared" si="15"/>
        <v>798</v>
      </c>
      <c r="IJ30" s="2769">
        <f t="shared" si="16"/>
        <v>443</v>
      </c>
      <c r="IK30" s="2773">
        <f t="shared" si="17"/>
        <v>410</v>
      </c>
      <c r="IL30" s="2774">
        <f t="shared" si="18"/>
        <v>820</v>
      </c>
      <c r="IM30" s="2774">
        <f t="shared" si="19"/>
        <v>765</v>
      </c>
      <c r="IN30" s="2774">
        <f t="shared" si="20"/>
        <v>566</v>
      </c>
      <c r="IO30" s="2775">
        <f t="shared" si="21"/>
        <v>361</v>
      </c>
      <c r="IP30" s="2776">
        <f t="shared" si="22"/>
        <v>1</v>
      </c>
      <c r="IQ30" s="2776">
        <f t="shared" si="60"/>
        <v>24</v>
      </c>
      <c r="IR30" s="2777">
        <f t="shared" si="24"/>
        <v>57</v>
      </c>
      <c r="IS30" s="2772">
        <f t="shared" si="25"/>
        <v>59</v>
      </c>
      <c r="IT30" s="2769">
        <f t="shared" si="26"/>
        <v>159</v>
      </c>
      <c r="IU30" s="2769">
        <f t="shared" si="27"/>
        <v>449</v>
      </c>
      <c r="IV30" s="2769">
        <f t="shared" si="28"/>
        <v>432</v>
      </c>
      <c r="IW30" s="3961">
        <f t="shared" si="46"/>
        <v>510</v>
      </c>
      <c r="IX30" s="3953">
        <f t="shared" si="47"/>
        <v>828</v>
      </c>
      <c r="IY30" s="3953">
        <f t="shared" si="48"/>
        <v>0</v>
      </c>
      <c r="IZ30" s="3962">
        <f t="shared" si="49"/>
        <v>0</v>
      </c>
      <c r="JA30" s="3957"/>
      <c r="JB30" s="3358">
        <v>1660</v>
      </c>
      <c r="JC30" s="3359">
        <v>2324</v>
      </c>
      <c r="JD30" s="3359">
        <v>2326</v>
      </c>
      <c r="JE30" s="3359">
        <v>2092</v>
      </c>
      <c r="JF30" s="3359">
        <v>2058</v>
      </c>
      <c r="JG30" s="3359">
        <v>2254</v>
      </c>
      <c r="JH30" s="3360">
        <v>2007</v>
      </c>
      <c r="JI30" s="3361">
        <v>2154</v>
      </c>
      <c r="JJ30" s="3361">
        <f t="shared" si="29"/>
        <v>2188</v>
      </c>
      <c r="JK30" s="3361">
        <f t="shared" si="30"/>
        <v>2101</v>
      </c>
      <c r="JL30" s="3361">
        <f t="shared" si="31"/>
        <v>1775</v>
      </c>
      <c r="JM30" s="3361">
        <f t="shared" si="32"/>
        <v>2407</v>
      </c>
      <c r="JN30" s="3362">
        <f t="shared" si="0"/>
        <v>2561</v>
      </c>
      <c r="JO30" s="3380">
        <f t="shared" si="33"/>
        <v>443</v>
      </c>
      <c r="JP30" s="3378">
        <f t="shared" si="50"/>
        <v>1099</v>
      </c>
      <c r="JQ30" s="3377">
        <f t="shared" si="51"/>
        <v>2290</v>
      </c>
      <c r="JS30" s="4673">
        <f t="shared" si="52"/>
        <v>35</v>
      </c>
      <c r="JT30" s="3579">
        <f t="shared" si="53"/>
        <v>1338</v>
      </c>
      <c r="JU30" s="2525"/>
      <c r="JV30" s="3365">
        <f t="shared" si="54"/>
        <v>1277.3333333333333</v>
      </c>
      <c r="JW30" s="3366">
        <f t="shared" si="34"/>
        <v>3.3475349969567863E-3</v>
      </c>
      <c r="JX30" s="3366">
        <f t="shared" si="35"/>
        <v>2.7185108380518002E-3</v>
      </c>
      <c r="JY30" s="3366">
        <f t="shared" si="55"/>
        <v>3.5036390101892286E-3</v>
      </c>
      <c r="JZ30" s="3366">
        <f t="shared" si="36"/>
        <v>3.7278020378457058E-3</v>
      </c>
      <c r="KA30" s="3366">
        <f t="shared" si="37"/>
        <v>2.320890635232482E-3</v>
      </c>
      <c r="KB30" s="4688">
        <f t="shared" si="38"/>
        <v>3.9110877023160471E-3</v>
      </c>
      <c r="KC30" s="4691">
        <f t="shared" si="56"/>
        <v>4.7868793518272713E-3</v>
      </c>
      <c r="KD30" s="3366"/>
      <c r="KE30" s="3368">
        <f t="shared" si="39"/>
        <v>-0.15516420752022841</v>
      </c>
      <c r="KF30" s="3369">
        <f t="shared" si="40"/>
        <v>-0.39203553863239726</v>
      </c>
      <c r="KG30" s="3369">
        <f t="shared" si="41"/>
        <v>0.35605633802816894</v>
      </c>
      <c r="KH30" s="3369">
        <f t="shared" si="42"/>
        <v>6.3980058163689346E-2</v>
      </c>
      <c r="KI30" s="3369">
        <f t="shared" si="43"/>
        <v>-0.82702069504099962</v>
      </c>
      <c r="KJ30" s="3368">
        <f t="shared" si="44"/>
        <v>-0.57087075361187034</v>
      </c>
      <c r="KK30" s="3369">
        <f t="shared" si="57"/>
        <v>1.4808126410835216</v>
      </c>
      <c r="KL30" s="4678">
        <f t="shared" si="59"/>
        <v>-0.10581803982819216</v>
      </c>
      <c r="KM30" s="4678">
        <f t="shared" si="58"/>
        <v>1.083712465878071</v>
      </c>
      <c r="KN30" s="3045"/>
      <c r="KO30" s="3045"/>
      <c r="KP30" s="3045"/>
      <c r="KQ30" s="3045"/>
      <c r="KR30" s="3045"/>
      <c r="KS30" s="3045"/>
      <c r="KT30" s="3045"/>
      <c r="KU30" s="3045"/>
      <c r="KV30" s="3045"/>
      <c r="KW30" s="3045"/>
      <c r="KX30" s="3045"/>
      <c r="KY30" s="3045"/>
      <c r="KZ30" s="3045"/>
      <c r="LA30" s="3045"/>
      <c r="LB30" s="3045"/>
      <c r="LC30" s="3045"/>
      <c r="LD30" s="3045"/>
      <c r="LE30" s="3045"/>
      <c r="LF30" s="3045"/>
      <c r="LG30" s="3045"/>
      <c r="LH30" s="3045"/>
      <c r="LI30" s="3045"/>
      <c r="LJ30" s="3045"/>
      <c r="LK30" s="2525"/>
      <c r="LL30" s="2525"/>
      <c r="LM30" s="2525"/>
      <c r="LN30" s="2525"/>
      <c r="LO30" s="2525"/>
      <c r="LP30" s="2525"/>
      <c r="LQ30" s="2525"/>
      <c r="LR30" s="2525"/>
    </row>
    <row r="31" spans="1:330" ht="21.9" customHeight="1">
      <c r="A31" s="3382"/>
      <c r="B31" s="3045"/>
      <c r="C31" s="3381" t="s">
        <v>24</v>
      </c>
      <c r="D31" s="3330">
        <v>90</v>
      </c>
      <c r="E31" s="3331">
        <v>70</v>
      </c>
      <c r="F31" s="3331">
        <v>94</v>
      </c>
      <c r="G31" s="3331">
        <v>80</v>
      </c>
      <c r="H31" s="3331">
        <v>77</v>
      </c>
      <c r="I31" s="3331">
        <v>104</v>
      </c>
      <c r="J31" s="3331">
        <v>112</v>
      </c>
      <c r="K31" s="3331">
        <v>170</v>
      </c>
      <c r="L31" s="3331">
        <v>120</v>
      </c>
      <c r="M31" s="3331">
        <v>184</v>
      </c>
      <c r="N31" s="3331">
        <v>125</v>
      </c>
      <c r="O31" s="3332">
        <v>60</v>
      </c>
      <c r="P31" s="3333">
        <v>96</v>
      </c>
      <c r="Q31" s="3334">
        <v>129</v>
      </c>
      <c r="R31" s="3334">
        <v>105</v>
      </c>
      <c r="S31" s="3334">
        <v>118</v>
      </c>
      <c r="T31" s="3334">
        <v>121</v>
      </c>
      <c r="U31" s="3334">
        <v>112</v>
      </c>
      <c r="V31" s="3334">
        <v>164</v>
      </c>
      <c r="W31" s="3334">
        <v>138</v>
      </c>
      <c r="X31" s="3334">
        <v>125</v>
      </c>
      <c r="Y31" s="3334">
        <v>137</v>
      </c>
      <c r="Z31" s="3334">
        <v>167</v>
      </c>
      <c r="AA31" s="3335">
        <v>102</v>
      </c>
      <c r="AB31" s="3336">
        <v>111</v>
      </c>
      <c r="AC31" s="3337">
        <v>90</v>
      </c>
      <c r="AD31" s="3337">
        <v>127</v>
      </c>
      <c r="AE31" s="3337">
        <v>124</v>
      </c>
      <c r="AF31" s="3337">
        <v>129.5</v>
      </c>
      <c r="AG31" s="3337">
        <v>135</v>
      </c>
      <c r="AH31" s="3337">
        <v>136</v>
      </c>
      <c r="AI31" s="3337">
        <v>128</v>
      </c>
      <c r="AJ31" s="3337">
        <v>105</v>
      </c>
      <c r="AK31" s="3337">
        <v>161</v>
      </c>
      <c r="AL31" s="3337">
        <v>145</v>
      </c>
      <c r="AM31" s="3338">
        <v>92</v>
      </c>
      <c r="AN31" s="3339">
        <v>110</v>
      </c>
      <c r="AO31" s="3340">
        <v>117</v>
      </c>
      <c r="AP31" s="3340">
        <v>126</v>
      </c>
      <c r="AQ31" s="3340">
        <v>133</v>
      </c>
      <c r="AR31" s="3340">
        <v>112</v>
      </c>
      <c r="AS31" s="3340">
        <v>130</v>
      </c>
      <c r="AT31" s="3340">
        <v>106</v>
      </c>
      <c r="AU31" s="3340">
        <v>129</v>
      </c>
      <c r="AV31" s="3340">
        <v>98</v>
      </c>
      <c r="AW31" s="3340">
        <v>102</v>
      </c>
      <c r="AX31" s="3340">
        <v>193</v>
      </c>
      <c r="AY31" s="3341">
        <v>110</v>
      </c>
      <c r="AZ31" s="3277">
        <v>120</v>
      </c>
      <c r="BA31" s="3277">
        <v>131</v>
      </c>
      <c r="BB31" s="3277">
        <v>181</v>
      </c>
      <c r="BC31" s="3277">
        <v>146</v>
      </c>
      <c r="BD31" s="3277">
        <v>119</v>
      </c>
      <c r="BE31" s="3277">
        <v>111</v>
      </c>
      <c r="BF31" s="3277">
        <v>135</v>
      </c>
      <c r="BG31" s="3277">
        <v>117</v>
      </c>
      <c r="BH31" s="3277">
        <v>146</v>
      </c>
      <c r="BI31" s="3277">
        <v>146</v>
      </c>
      <c r="BJ31" s="3277">
        <v>146</v>
      </c>
      <c r="BK31" s="3374">
        <v>94</v>
      </c>
      <c r="BL31" s="3344">
        <v>88</v>
      </c>
      <c r="BM31" s="3345">
        <v>92</v>
      </c>
      <c r="BN31" s="3345">
        <v>110</v>
      </c>
      <c r="BO31" s="3345">
        <v>169</v>
      </c>
      <c r="BP31" s="3345">
        <v>178</v>
      </c>
      <c r="BQ31" s="3345">
        <v>182</v>
      </c>
      <c r="BR31" s="3345">
        <v>203</v>
      </c>
      <c r="BS31" s="3345">
        <v>98</v>
      </c>
      <c r="BT31" s="3346">
        <v>163</v>
      </c>
      <c r="BU31" s="3346">
        <v>160</v>
      </c>
      <c r="BV31" s="3346">
        <v>216</v>
      </c>
      <c r="BW31" s="3347">
        <v>139</v>
      </c>
      <c r="BX31" s="3348">
        <v>147</v>
      </c>
      <c r="BY31" s="3273">
        <v>131</v>
      </c>
      <c r="BZ31" s="3273">
        <v>146</v>
      </c>
      <c r="CA31" s="3273">
        <v>150</v>
      </c>
      <c r="CB31" s="3273">
        <v>161</v>
      </c>
      <c r="CC31" s="3273">
        <v>198</v>
      </c>
      <c r="CD31" s="3273">
        <v>154</v>
      </c>
      <c r="CE31" s="3273">
        <v>173</v>
      </c>
      <c r="CF31" s="3273">
        <v>155</v>
      </c>
      <c r="CG31" s="3273">
        <v>288</v>
      </c>
      <c r="CH31" s="3273">
        <v>181</v>
      </c>
      <c r="CI31" s="3275">
        <v>120</v>
      </c>
      <c r="CJ31" s="3349">
        <v>145</v>
      </c>
      <c r="CK31" s="3350">
        <v>146</v>
      </c>
      <c r="CL31" s="3350">
        <v>144</v>
      </c>
      <c r="CM31" s="3350">
        <v>156</v>
      </c>
      <c r="CN31" s="3350">
        <v>133</v>
      </c>
      <c r="CO31" s="3350">
        <v>125</v>
      </c>
      <c r="CP31" s="3350">
        <v>156</v>
      </c>
      <c r="CQ31" s="3350">
        <v>183</v>
      </c>
      <c r="CR31" s="3350">
        <v>249</v>
      </c>
      <c r="CS31" s="3350">
        <v>141</v>
      </c>
      <c r="CT31" s="3350">
        <v>221</v>
      </c>
      <c r="CU31" s="3351">
        <v>169</v>
      </c>
      <c r="CV31" s="3349">
        <v>176</v>
      </c>
      <c r="CW31" s="3350">
        <v>115</v>
      </c>
      <c r="CX31" s="3272">
        <v>180</v>
      </c>
      <c r="CY31" s="3272">
        <v>180</v>
      </c>
      <c r="CZ31" s="3272">
        <v>192</v>
      </c>
      <c r="DA31" s="3272">
        <v>170</v>
      </c>
      <c r="DB31" s="3272">
        <v>148</v>
      </c>
      <c r="DC31" s="3272">
        <v>190</v>
      </c>
      <c r="DD31" s="3272">
        <v>162</v>
      </c>
      <c r="DE31" s="3272">
        <v>176</v>
      </c>
      <c r="DF31" s="3272">
        <v>180</v>
      </c>
      <c r="DG31" s="3351">
        <v>130</v>
      </c>
      <c r="DH31" s="3352">
        <v>160</v>
      </c>
      <c r="DI31" s="3353">
        <v>120</v>
      </c>
      <c r="DJ31" s="3353">
        <v>153</v>
      </c>
      <c r="DK31" s="3354">
        <v>121</v>
      </c>
      <c r="DL31" s="3354">
        <v>126</v>
      </c>
      <c r="DM31" s="3354">
        <v>187</v>
      </c>
      <c r="DN31" s="3354">
        <v>148</v>
      </c>
      <c r="DO31" s="3354">
        <v>133</v>
      </c>
      <c r="DP31" s="2556">
        <v>126</v>
      </c>
      <c r="DQ31" s="3354">
        <v>231</v>
      </c>
      <c r="DR31" s="3354">
        <v>192</v>
      </c>
      <c r="DS31" s="3355">
        <v>155</v>
      </c>
      <c r="DT31" s="3356">
        <v>279</v>
      </c>
      <c r="DU31" s="3243">
        <v>182</v>
      </c>
      <c r="DV31" s="3243">
        <v>147</v>
      </c>
      <c r="DW31" s="3164">
        <v>152</v>
      </c>
      <c r="DX31" s="3164">
        <v>125</v>
      </c>
      <c r="DY31" s="3164">
        <v>152</v>
      </c>
      <c r="DZ31" s="3164">
        <v>203</v>
      </c>
      <c r="EA31" s="3164">
        <v>198</v>
      </c>
      <c r="EB31" s="3164">
        <v>213</v>
      </c>
      <c r="EC31" s="3164">
        <v>185</v>
      </c>
      <c r="ED31" s="3164">
        <v>205</v>
      </c>
      <c r="EE31" s="3163">
        <v>242</v>
      </c>
      <c r="EF31" s="2532">
        <v>240</v>
      </c>
      <c r="EG31" s="2531">
        <v>134</v>
      </c>
      <c r="EH31" s="2531">
        <v>197</v>
      </c>
      <c r="EI31" s="2531">
        <v>152</v>
      </c>
      <c r="EJ31" s="2531">
        <v>183</v>
      </c>
      <c r="EK31" s="2531">
        <v>238</v>
      </c>
      <c r="EL31" s="2531">
        <v>201</v>
      </c>
      <c r="EM31" s="2557">
        <v>184</v>
      </c>
      <c r="EN31" s="2557">
        <v>193</v>
      </c>
      <c r="EO31" s="2558">
        <v>217</v>
      </c>
      <c r="EP31" s="2558">
        <v>232</v>
      </c>
      <c r="EQ31" s="2559">
        <v>203</v>
      </c>
      <c r="ER31" s="1324">
        <v>191</v>
      </c>
      <c r="ES31" s="3357">
        <v>196</v>
      </c>
      <c r="ET31" s="3357">
        <v>245</v>
      </c>
      <c r="EU31" s="2560">
        <v>262</v>
      </c>
      <c r="EV31" s="2108">
        <v>175</v>
      </c>
      <c r="EW31" s="2108">
        <v>225</v>
      </c>
      <c r="EX31" s="2108">
        <v>197</v>
      </c>
      <c r="EY31" s="2108">
        <v>272</v>
      </c>
      <c r="EZ31" s="2108">
        <v>228</v>
      </c>
      <c r="FA31" s="2276">
        <v>183</v>
      </c>
      <c r="FB31" s="2276">
        <v>245</v>
      </c>
      <c r="FC31" s="2276">
        <v>178</v>
      </c>
      <c r="FD31" s="2608">
        <v>190</v>
      </c>
      <c r="FE31" s="2609">
        <v>181</v>
      </c>
      <c r="FF31" s="2609">
        <v>73</v>
      </c>
      <c r="FG31" s="2609"/>
      <c r="FH31" s="2609">
        <v>1</v>
      </c>
      <c r="FI31" s="2609">
        <v>2</v>
      </c>
      <c r="FJ31" s="2609">
        <v>8</v>
      </c>
      <c r="FK31" s="2609">
        <v>2</v>
      </c>
      <c r="FL31" s="2609">
        <v>19</v>
      </c>
      <c r="FM31" s="2609">
        <v>33</v>
      </c>
      <c r="FN31" s="2609">
        <v>23</v>
      </c>
      <c r="FO31" s="2610">
        <v>34</v>
      </c>
      <c r="FP31" s="2608">
        <v>57</v>
      </c>
      <c r="FQ31" s="2609">
        <v>25</v>
      </c>
      <c r="FR31" s="2609">
        <v>71</v>
      </c>
      <c r="FS31" s="2609">
        <v>33</v>
      </c>
      <c r="FT31" s="2609">
        <v>46</v>
      </c>
      <c r="FU31" s="2609">
        <v>53</v>
      </c>
      <c r="FV31" s="2609">
        <v>51</v>
      </c>
      <c r="FW31" s="2609">
        <v>64</v>
      </c>
      <c r="FX31" s="2609">
        <v>57</v>
      </c>
      <c r="FY31" s="2609">
        <v>95</v>
      </c>
      <c r="FZ31" s="2609">
        <v>84</v>
      </c>
      <c r="GA31" s="2610">
        <v>83</v>
      </c>
      <c r="GB31" s="4659">
        <v>92</v>
      </c>
      <c r="GC31" s="4660">
        <v>134</v>
      </c>
      <c r="GD31" s="4660">
        <v>118</v>
      </c>
      <c r="GE31" s="4660">
        <v>100</v>
      </c>
      <c r="GF31" s="4660">
        <v>141</v>
      </c>
      <c r="GG31" s="4660"/>
      <c r="GH31" s="4660"/>
      <c r="GI31" s="4660"/>
      <c r="GJ31" s="4660"/>
      <c r="GK31" s="4660"/>
      <c r="GL31" s="4660"/>
      <c r="GM31" s="4661"/>
      <c r="GN31" s="2607"/>
      <c r="GO31" s="2754">
        <v>254</v>
      </c>
      <c r="GP31" s="2755">
        <v>261</v>
      </c>
      <c r="GQ31" s="2755">
        <v>402</v>
      </c>
      <c r="GR31" s="2756">
        <v>369</v>
      </c>
      <c r="GS31" s="2757">
        <v>330</v>
      </c>
      <c r="GT31" s="2758">
        <v>351</v>
      </c>
      <c r="GU31" s="2758">
        <v>427</v>
      </c>
      <c r="GV31" s="2759">
        <v>406</v>
      </c>
      <c r="GW31" s="2760">
        <v>328</v>
      </c>
      <c r="GX31" s="2761">
        <v>388.5</v>
      </c>
      <c r="GY31" s="2762">
        <v>369</v>
      </c>
      <c r="GZ31" s="2762">
        <v>398</v>
      </c>
      <c r="HA31" s="2763">
        <v>353</v>
      </c>
      <c r="HB31" s="2764">
        <v>375</v>
      </c>
      <c r="HC31" s="2764">
        <v>333</v>
      </c>
      <c r="HD31" s="2765">
        <v>405</v>
      </c>
      <c r="HE31" s="2766">
        <v>432</v>
      </c>
      <c r="HF31" s="2767">
        <v>376</v>
      </c>
      <c r="HG31" s="2767">
        <v>398</v>
      </c>
      <c r="HH31" s="2768">
        <v>386</v>
      </c>
      <c r="HI31" s="2764">
        <v>290</v>
      </c>
      <c r="HJ31" s="2764">
        <v>529</v>
      </c>
      <c r="HK31" s="2764">
        <v>464</v>
      </c>
      <c r="HL31" s="2764">
        <v>515</v>
      </c>
      <c r="HM31" s="2769">
        <v>424</v>
      </c>
      <c r="HN31" s="2769">
        <v>509</v>
      </c>
      <c r="HO31" s="2769">
        <v>482</v>
      </c>
      <c r="HP31" s="2769">
        <v>589</v>
      </c>
      <c r="HQ31" s="2770">
        <v>435</v>
      </c>
      <c r="HR31" s="2770">
        <v>414</v>
      </c>
      <c r="HS31" s="2770">
        <f t="shared" si="1"/>
        <v>588</v>
      </c>
      <c r="HT31" s="2770">
        <v>531</v>
      </c>
      <c r="HU31" s="2771">
        <v>471</v>
      </c>
      <c r="HV31" s="2771">
        <f t="shared" si="2"/>
        <v>542</v>
      </c>
      <c r="HW31" s="2771">
        <f t="shared" si="3"/>
        <v>500</v>
      </c>
      <c r="HX31" s="2770">
        <f t="shared" si="4"/>
        <v>486</v>
      </c>
      <c r="HY31" s="2689">
        <f t="shared" si="5"/>
        <v>433</v>
      </c>
      <c r="HZ31" s="2689">
        <f t="shared" si="6"/>
        <v>434</v>
      </c>
      <c r="IA31" s="2689">
        <f t="shared" si="7"/>
        <v>436</v>
      </c>
      <c r="IB31" s="2689">
        <f t="shared" si="8"/>
        <v>578</v>
      </c>
      <c r="IC31" s="2764">
        <f t="shared" si="9"/>
        <v>608</v>
      </c>
      <c r="ID31" s="2764">
        <f t="shared" si="10"/>
        <v>429</v>
      </c>
      <c r="IE31" s="2764">
        <f t="shared" si="11"/>
        <v>614</v>
      </c>
      <c r="IF31" s="2764">
        <f t="shared" si="12"/>
        <v>632</v>
      </c>
      <c r="IG31" s="2772">
        <f t="shared" si="13"/>
        <v>571</v>
      </c>
      <c r="IH31" s="2769">
        <f t="shared" si="14"/>
        <v>573</v>
      </c>
      <c r="II31" s="2769">
        <f t="shared" si="15"/>
        <v>578</v>
      </c>
      <c r="IJ31" s="2769">
        <f t="shared" si="16"/>
        <v>652</v>
      </c>
      <c r="IK31" s="2773">
        <f t="shared" si="17"/>
        <v>632</v>
      </c>
      <c r="IL31" s="2774">
        <f t="shared" si="18"/>
        <v>662</v>
      </c>
      <c r="IM31" s="2774">
        <f t="shared" si="19"/>
        <v>697</v>
      </c>
      <c r="IN31" s="2774">
        <f t="shared" si="20"/>
        <v>606</v>
      </c>
      <c r="IO31" s="2775">
        <f t="shared" si="21"/>
        <v>444</v>
      </c>
      <c r="IP31" s="2776">
        <f t="shared" si="22"/>
        <v>3</v>
      </c>
      <c r="IQ31" s="2776">
        <f t="shared" si="60"/>
        <v>29</v>
      </c>
      <c r="IR31" s="2777">
        <f t="shared" si="24"/>
        <v>90</v>
      </c>
      <c r="IS31" s="2772">
        <f t="shared" si="25"/>
        <v>153</v>
      </c>
      <c r="IT31" s="2769">
        <f t="shared" si="26"/>
        <v>132</v>
      </c>
      <c r="IU31" s="2769">
        <f t="shared" si="27"/>
        <v>172</v>
      </c>
      <c r="IV31" s="2769">
        <f t="shared" si="28"/>
        <v>262</v>
      </c>
      <c r="IW31" s="3961">
        <f t="shared" si="46"/>
        <v>344</v>
      </c>
      <c r="IX31" s="3953">
        <f t="shared" si="47"/>
        <v>241</v>
      </c>
      <c r="IY31" s="3953">
        <f t="shared" si="48"/>
        <v>0</v>
      </c>
      <c r="IZ31" s="3962">
        <f t="shared" si="49"/>
        <v>0</v>
      </c>
      <c r="JA31" s="3957"/>
      <c r="JB31" s="3358">
        <v>1286</v>
      </c>
      <c r="JC31" s="3359">
        <v>1514</v>
      </c>
      <c r="JD31" s="3359">
        <v>1483.5</v>
      </c>
      <c r="JE31" s="3359">
        <v>1466</v>
      </c>
      <c r="JF31" s="3359">
        <v>1592</v>
      </c>
      <c r="JG31" s="3359">
        <v>1798</v>
      </c>
      <c r="JH31" s="3360">
        <v>2004</v>
      </c>
      <c r="JI31" s="3361">
        <v>1968</v>
      </c>
      <c r="JJ31" s="3361">
        <f t="shared" si="29"/>
        <v>1999</v>
      </c>
      <c r="JK31" s="3361">
        <f t="shared" si="30"/>
        <v>1852</v>
      </c>
      <c r="JL31" s="3361">
        <f t="shared" si="31"/>
        <v>2283</v>
      </c>
      <c r="JM31" s="3361">
        <f t="shared" si="32"/>
        <v>2374</v>
      </c>
      <c r="JN31" s="3362">
        <f t="shared" si="0"/>
        <v>2597</v>
      </c>
      <c r="JO31" s="3380">
        <f t="shared" si="33"/>
        <v>566</v>
      </c>
      <c r="JP31" s="3378">
        <f t="shared" si="50"/>
        <v>719</v>
      </c>
      <c r="JQ31" s="3377">
        <f t="shared" si="51"/>
        <v>1072</v>
      </c>
      <c r="JS31" s="4673">
        <f t="shared" si="52"/>
        <v>82</v>
      </c>
      <c r="JT31" s="3579">
        <f t="shared" si="53"/>
        <v>585</v>
      </c>
      <c r="JU31" s="2525"/>
      <c r="JV31" s="3365">
        <f t="shared" si="54"/>
        <v>785.66666666666663</v>
      </c>
      <c r="JW31" s="3366">
        <f t="shared" si="34"/>
        <v>2.9508019106920364E-3</v>
      </c>
      <c r="JX31" s="3366">
        <f t="shared" si="35"/>
        <v>3.4965409821252169E-3</v>
      </c>
      <c r="JY31" s="3366">
        <f t="shared" si="55"/>
        <v>3.455604075691412E-3</v>
      </c>
      <c r="JZ31" s="3366">
        <f t="shared" si="36"/>
        <v>3.7802037845705966E-3</v>
      </c>
      <c r="KA31" s="3366">
        <f t="shared" si="37"/>
        <v>2.9652914210870989E-3</v>
      </c>
      <c r="KB31" s="4688">
        <f t="shared" si="38"/>
        <v>2.5587552847727369E-3</v>
      </c>
      <c r="KC31" s="4691">
        <f t="shared" si="56"/>
        <v>2.2408448319470894E-3</v>
      </c>
      <c r="KD31" s="3366"/>
      <c r="KE31" s="3368">
        <f t="shared" si="39"/>
        <v>0.23272138228941674</v>
      </c>
      <c r="KF31" s="3369">
        <f t="shared" si="40"/>
        <v>-0.57577393808495325</v>
      </c>
      <c r="KG31" s="3369">
        <f t="shared" si="41"/>
        <v>3.985983355234346E-2</v>
      </c>
      <c r="KH31" s="3369">
        <f t="shared" si="42"/>
        <v>9.3934288121314324E-2</v>
      </c>
      <c r="KI31" s="3369">
        <f t="shared" si="43"/>
        <v>-0.78205621871390063</v>
      </c>
      <c r="KJ31" s="3368">
        <f t="shared" si="44"/>
        <v>-0.72314208702348859</v>
      </c>
      <c r="KK31" s="3369">
        <f t="shared" si="57"/>
        <v>0.27031802120141335</v>
      </c>
      <c r="KL31" s="4678">
        <f t="shared" si="59"/>
        <v>-0.58721601848286487</v>
      </c>
      <c r="KM31" s="4678">
        <f t="shared" si="58"/>
        <v>0.49095966620305975</v>
      </c>
      <c r="KN31" s="2525"/>
      <c r="KO31" s="2525"/>
      <c r="KP31" s="2525"/>
      <c r="KQ31" s="2525"/>
      <c r="KR31" s="2525"/>
      <c r="KS31" s="2525"/>
      <c r="KT31" s="2525"/>
      <c r="KU31" s="2525"/>
      <c r="KV31" s="2525"/>
      <c r="KW31" s="2525"/>
      <c r="KX31" s="2525"/>
      <c r="KY31" s="2525"/>
      <c r="KZ31" s="2525"/>
      <c r="LA31" s="2525"/>
      <c r="LB31" s="2525"/>
      <c r="LC31" s="2525"/>
      <c r="LD31" s="2525"/>
      <c r="LE31" s="2525"/>
      <c r="LF31" s="2525"/>
      <c r="LG31" s="2525"/>
      <c r="LH31" s="2525"/>
      <c r="LI31" s="2525"/>
      <c r="LJ31" s="2525"/>
      <c r="LK31" s="2525"/>
      <c r="LL31" s="2525"/>
      <c r="LM31" s="2525"/>
      <c r="LN31" s="2525"/>
      <c r="LO31" s="2525"/>
      <c r="LP31" s="2525"/>
      <c r="LQ31" s="2525"/>
      <c r="LR31" s="2525"/>
    </row>
    <row r="32" spans="1:330" ht="21.9" customHeight="1">
      <c r="A32" s="3382"/>
      <c r="B32" s="3045"/>
      <c r="C32" s="3381" t="s">
        <v>28</v>
      </c>
      <c r="D32" s="3330">
        <v>138</v>
      </c>
      <c r="E32" s="3331">
        <v>149</v>
      </c>
      <c r="F32" s="3331">
        <v>93</v>
      </c>
      <c r="G32" s="3331">
        <v>71</v>
      </c>
      <c r="H32" s="3331">
        <v>66</v>
      </c>
      <c r="I32" s="3331">
        <v>73</v>
      </c>
      <c r="J32" s="3331">
        <v>273</v>
      </c>
      <c r="K32" s="3331">
        <v>222</v>
      </c>
      <c r="L32" s="3331">
        <v>113</v>
      </c>
      <c r="M32" s="3331">
        <v>166</v>
      </c>
      <c r="N32" s="3331">
        <v>134</v>
      </c>
      <c r="O32" s="3332">
        <v>162</v>
      </c>
      <c r="P32" s="3333">
        <v>167</v>
      </c>
      <c r="Q32" s="3334">
        <v>188</v>
      </c>
      <c r="R32" s="3334">
        <v>94</v>
      </c>
      <c r="S32" s="3334">
        <v>113</v>
      </c>
      <c r="T32" s="3334">
        <v>105</v>
      </c>
      <c r="U32" s="3334">
        <v>120</v>
      </c>
      <c r="V32" s="3334">
        <v>255</v>
      </c>
      <c r="W32" s="3334">
        <v>170</v>
      </c>
      <c r="X32" s="3334">
        <v>131</v>
      </c>
      <c r="Y32" s="3334">
        <v>185</v>
      </c>
      <c r="Z32" s="3334">
        <v>164</v>
      </c>
      <c r="AA32" s="3335">
        <v>159</v>
      </c>
      <c r="AB32" s="3336">
        <v>134</v>
      </c>
      <c r="AC32" s="3337">
        <v>96</v>
      </c>
      <c r="AD32" s="3337">
        <v>90</v>
      </c>
      <c r="AE32" s="3337">
        <v>110</v>
      </c>
      <c r="AF32" s="3337">
        <v>119</v>
      </c>
      <c r="AG32" s="3337">
        <v>128</v>
      </c>
      <c r="AH32" s="3337">
        <v>272</v>
      </c>
      <c r="AI32" s="3337">
        <v>165</v>
      </c>
      <c r="AJ32" s="3337">
        <v>119</v>
      </c>
      <c r="AK32" s="3337">
        <v>146</v>
      </c>
      <c r="AL32" s="3337">
        <v>215</v>
      </c>
      <c r="AM32" s="3338">
        <v>170</v>
      </c>
      <c r="AN32" s="3339">
        <v>177</v>
      </c>
      <c r="AO32" s="3340">
        <v>92</v>
      </c>
      <c r="AP32" s="3340">
        <v>146</v>
      </c>
      <c r="AQ32" s="3340">
        <v>95</v>
      </c>
      <c r="AR32" s="3340">
        <v>91</v>
      </c>
      <c r="AS32" s="3340">
        <v>100</v>
      </c>
      <c r="AT32" s="3340">
        <v>236</v>
      </c>
      <c r="AU32" s="3340">
        <v>185</v>
      </c>
      <c r="AV32" s="3340">
        <v>102</v>
      </c>
      <c r="AW32" s="3340">
        <v>65</v>
      </c>
      <c r="AX32" s="3340">
        <v>181</v>
      </c>
      <c r="AY32" s="3341">
        <v>133</v>
      </c>
      <c r="AZ32" s="3277">
        <v>124</v>
      </c>
      <c r="BA32" s="3277">
        <v>128</v>
      </c>
      <c r="BB32" s="3277">
        <v>97</v>
      </c>
      <c r="BC32" s="3277">
        <v>97</v>
      </c>
      <c r="BD32" s="3277">
        <v>73</v>
      </c>
      <c r="BE32" s="3277">
        <v>87</v>
      </c>
      <c r="BF32" s="3277">
        <v>232</v>
      </c>
      <c r="BG32" s="3277">
        <v>210</v>
      </c>
      <c r="BH32" s="3277">
        <v>131</v>
      </c>
      <c r="BI32" s="3277">
        <v>157</v>
      </c>
      <c r="BJ32" s="3277">
        <v>200</v>
      </c>
      <c r="BK32" s="3374">
        <v>130</v>
      </c>
      <c r="BL32" s="3344">
        <v>157</v>
      </c>
      <c r="BM32" s="3345">
        <v>139</v>
      </c>
      <c r="BN32" s="3345">
        <v>112</v>
      </c>
      <c r="BO32" s="3345">
        <v>105</v>
      </c>
      <c r="BP32" s="3345">
        <v>107</v>
      </c>
      <c r="BQ32" s="3345">
        <v>110</v>
      </c>
      <c r="BR32" s="3345">
        <v>321</v>
      </c>
      <c r="BS32" s="3345">
        <v>252</v>
      </c>
      <c r="BT32" s="3346">
        <v>119</v>
      </c>
      <c r="BU32" s="3346">
        <v>185</v>
      </c>
      <c r="BV32" s="3346">
        <v>180</v>
      </c>
      <c r="BW32" s="3347">
        <v>215</v>
      </c>
      <c r="BX32" s="3348">
        <v>188</v>
      </c>
      <c r="BY32" s="3273">
        <v>155</v>
      </c>
      <c r="BZ32" s="3273">
        <v>124</v>
      </c>
      <c r="CA32" s="3273">
        <v>85</v>
      </c>
      <c r="CB32" s="3273">
        <v>98</v>
      </c>
      <c r="CC32" s="3273">
        <v>116</v>
      </c>
      <c r="CD32" s="3273">
        <v>334</v>
      </c>
      <c r="CE32" s="3273">
        <v>184</v>
      </c>
      <c r="CF32" s="3273">
        <v>116</v>
      </c>
      <c r="CG32" s="3273">
        <v>188</v>
      </c>
      <c r="CH32" s="3273">
        <v>217</v>
      </c>
      <c r="CI32" s="3275">
        <v>213</v>
      </c>
      <c r="CJ32" s="3349">
        <v>154</v>
      </c>
      <c r="CK32" s="3350">
        <v>218</v>
      </c>
      <c r="CL32" s="3350">
        <v>150</v>
      </c>
      <c r="CM32" s="3350">
        <v>102</v>
      </c>
      <c r="CN32" s="3350">
        <v>127</v>
      </c>
      <c r="CO32" s="3350">
        <v>148</v>
      </c>
      <c r="CP32" s="3350">
        <v>356</v>
      </c>
      <c r="CQ32" s="3350">
        <v>244</v>
      </c>
      <c r="CR32" s="3350">
        <v>139</v>
      </c>
      <c r="CS32" s="3350">
        <v>182</v>
      </c>
      <c r="CT32" s="3350">
        <v>216</v>
      </c>
      <c r="CU32" s="3351">
        <v>174</v>
      </c>
      <c r="CV32" s="3349">
        <v>141</v>
      </c>
      <c r="CW32" s="3350">
        <v>235</v>
      </c>
      <c r="CX32" s="3272">
        <v>158</v>
      </c>
      <c r="CY32" s="3272">
        <v>101</v>
      </c>
      <c r="CZ32" s="3272">
        <v>126</v>
      </c>
      <c r="DA32" s="3272">
        <v>105</v>
      </c>
      <c r="DB32" s="3272">
        <v>297</v>
      </c>
      <c r="DC32" s="3272">
        <v>231</v>
      </c>
      <c r="DD32" s="3272">
        <v>140</v>
      </c>
      <c r="DE32" s="3272">
        <v>165</v>
      </c>
      <c r="DF32" s="3272">
        <v>213</v>
      </c>
      <c r="DG32" s="3351">
        <v>154</v>
      </c>
      <c r="DH32" s="3352">
        <v>151</v>
      </c>
      <c r="DI32" s="3353">
        <v>183</v>
      </c>
      <c r="DJ32" s="3353">
        <v>129</v>
      </c>
      <c r="DK32" s="3354">
        <v>112</v>
      </c>
      <c r="DL32" s="3354">
        <v>87</v>
      </c>
      <c r="DM32" s="3354">
        <v>103</v>
      </c>
      <c r="DN32" s="3354">
        <v>117</v>
      </c>
      <c r="DO32" s="3354">
        <v>153</v>
      </c>
      <c r="DP32" s="2556">
        <v>140</v>
      </c>
      <c r="DQ32" s="3354">
        <v>189</v>
      </c>
      <c r="DR32" s="3354">
        <v>171</v>
      </c>
      <c r="DS32" s="3355">
        <v>137</v>
      </c>
      <c r="DT32" s="3356">
        <v>168</v>
      </c>
      <c r="DU32" s="3243">
        <v>142</v>
      </c>
      <c r="DV32" s="3243">
        <v>113</v>
      </c>
      <c r="DW32" s="3164">
        <v>157</v>
      </c>
      <c r="DX32" s="3164">
        <v>113</v>
      </c>
      <c r="DY32" s="3164">
        <v>102</v>
      </c>
      <c r="DZ32" s="3164">
        <v>264</v>
      </c>
      <c r="EA32" s="3164">
        <v>228</v>
      </c>
      <c r="EB32" s="3164">
        <v>135</v>
      </c>
      <c r="EC32" s="3164">
        <v>169</v>
      </c>
      <c r="ED32" s="3164">
        <v>191</v>
      </c>
      <c r="EE32" s="3163">
        <v>143</v>
      </c>
      <c r="EF32" s="2532">
        <v>187</v>
      </c>
      <c r="EG32" s="2531">
        <v>214</v>
      </c>
      <c r="EH32" s="2531">
        <v>150</v>
      </c>
      <c r="EI32" s="2531">
        <v>142</v>
      </c>
      <c r="EJ32" s="2531">
        <v>131</v>
      </c>
      <c r="EK32" s="2531">
        <v>131</v>
      </c>
      <c r="EL32" s="2531">
        <v>273</v>
      </c>
      <c r="EM32" s="2557">
        <v>208</v>
      </c>
      <c r="EN32" s="2557">
        <v>147</v>
      </c>
      <c r="EO32" s="2558">
        <v>236</v>
      </c>
      <c r="EP32" s="2558">
        <v>206</v>
      </c>
      <c r="EQ32" s="2559">
        <v>165</v>
      </c>
      <c r="ER32" s="1323">
        <v>195</v>
      </c>
      <c r="ES32" s="3357">
        <v>254</v>
      </c>
      <c r="ET32" s="3357">
        <v>168</v>
      </c>
      <c r="EU32" s="2560">
        <v>170</v>
      </c>
      <c r="EV32" s="2107">
        <v>155</v>
      </c>
      <c r="EW32" s="2107">
        <v>139</v>
      </c>
      <c r="EX32" s="2107">
        <v>329</v>
      </c>
      <c r="EY32" s="2107">
        <v>278</v>
      </c>
      <c r="EZ32" s="2107">
        <v>180</v>
      </c>
      <c r="FA32" s="2275">
        <v>169</v>
      </c>
      <c r="FB32" s="2275">
        <v>181</v>
      </c>
      <c r="FC32" s="2275">
        <v>202</v>
      </c>
      <c r="FD32" s="2615">
        <v>260</v>
      </c>
      <c r="FE32" s="2616">
        <v>232</v>
      </c>
      <c r="FF32" s="2616">
        <v>86</v>
      </c>
      <c r="FG32" s="2616"/>
      <c r="FH32" s="2616">
        <v>1</v>
      </c>
      <c r="FI32" s="2616">
        <v>1</v>
      </c>
      <c r="FJ32" s="2616">
        <v>7</v>
      </c>
      <c r="FK32" s="2616">
        <v>17</v>
      </c>
      <c r="FL32" s="2616">
        <v>8</v>
      </c>
      <c r="FM32" s="2616">
        <v>12</v>
      </c>
      <c r="FN32" s="2616">
        <v>21</v>
      </c>
      <c r="FO32" s="2617">
        <v>32</v>
      </c>
      <c r="FP32" s="2615">
        <v>25</v>
      </c>
      <c r="FQ32" s="2616">
        <v>18</v>
      </c>
      <c r="FR32" s="2616">
        <v>19</v>
      </c>
      <c r="FS32" s="2616">
        <v>23</v>
      </c>
      <c r="FT32" s="2616">
        <v>27</v>
      </c>
      <c r="FU32" s="2616">
        <v>40</v>
      </c>
      <c r="FV32" s="2616">
        <v>73</v>
      </c>
      <c r="FW32" s="2616">
        <v>91</v>
      </c>
      <c r="FX32" s="2616">
        <v>72</v>
      </c>
      <c r="FY32" s="2616">
        <v>94</v>
      </c>
      <c r="FZ32" s="2616">
        <v>105</v>
      </c>
      <c r="GA32" s="2617">
        <v>126</v>
      </c>
      <c r="GB32" s="4659">
        <v>139</v>
      </c>
      <c r="GC32" s="4660">
        <v>105</v>
      </c>
      <c r="GD32" s="4660">
        <v>82</v>
      </c>
      <c r="GE32" s="4660">
        <v>121</v>
      </c>
      <c r="GF32" s="4660">
        <v>119</v>
      </c>
      <c r="GG32" s="4660"/>
      <c r="GH32" s="4660"/>
      <c r="GI32" s="4660"/>
      <c r="GJ32" s="4660"/>
      <c r="GK32" s="4660"/>
      <c r="GL32" s="4660"/>
      <c r="GM32" s="4661"/>
      <c r="GN32" s="2607"/>
      <c r="GO32" s="2754">
        <v>380</v>
      </c>
      <c r="GP32" s="2755">
        <v>210</v>
      </c>
      <c r="GQ32" s="2755">
        <v>608</v>
      </c>
      <c r="GR32" s="2756">
        <v>462</v>
      </c>
      <c r="GS32" s="2757">
        <v>449</v>
      </c>
      <c r="GT32" s="2758">
        <v>338</v>
      </c>
      <c r="GU32" s="2758">
        <v>556</v>
      </c>
      <c r="GV32" s="2759">
        <v>508</v>
      </c>
      <c r="GW32" s="2760">
        <v>320</v>
      </c>
      <c r="GX32" s="2761">
        <v>357</v>
      </c>
      <c r="GY32" s="2762">
        <v>556</v>
      </c>
      <c r="GZ32" s="2762">
        <v>531</v>
      </c>
      <c r="HA32" s="2763">
        <v>415</v>
      </c>
      <c r="HB32" s="2764">
        <v>286</v>
      </c>
      <c r="HC32" s="2764">
        <v>523</v>
      </c>
      <c r="HD32" s="2765">
        <v>379</v>
      </c>
      <c r="HE32" s="2766">
        <v>349</v>
      </c>
      <c r="HF32" s="2767">
        <v>257</v>
      </c>
      <c r="HG32" s="2767">
        <v>573</v>
      </c>
      <c r="HH32" s="2768">
        <v>487</v>
      </c>
      <c r="HI32" s="2764">
        <v>408</v>
      </c>
      <c r="HJ32" s="2764">
        <v>322</v>
      </c>
      <c r="HK32" s="2764">
        <v>692</v>
      </c>
      <c r="HL32" s="2764">
        <v>580</v>
      </c>
      <c r="HM32" s="2769">
        <v>467</v>
      </c>
      <c r="HN32" s="2769">
        <v>299</v>
      </c>
      <c r="HO32" s="2769">
        <v>634</v>
      </c>
      <c r="HP32" s="2769">
        <v>618</v>
      </c>
      <c r="HQ32" s="2770">
        <v>522</v>
      </c>
      <c r="HR32" s="2770">
        <v>377</v>
      </c>
      <c r="HS32" s="2770">
        <f t="shared" si="1"/>
        <v>739</v>
      </c>
      <c r="HT32" s="2770">
        <v>572</v>
      </c>
      <c r="HU32" s="2771">
        <v>534</v>
      </c>
      <c r="HV32" s="2771">
        <f t="shared" si="2"/>
        <v>332</v>
      </c>
      <c r="HW32" s="2771">
        <f t="shared" si="3"/>
        <v>668</v>
      </c>
      <c r="HX32" s="2770">
        <f t="shared" si="4"/>
        <v>532</v>
      </c>
      <c r="HY32" s="2689">
        <f t="shared" si="5"/>
        <v>463</v>
      </c>
      <c r="HZ32" s="2689">
        <f t="shared" si="6"/>
        <v>302</v>
      </c>
      <c r="IA32" s="2689">
        <f t="shared" si="7"/>
        <v>407</v>
      </c>
      <c r="IB32" s="2689">
        <f t="shared" si="8"/>
        <v>497</v>
      </c>
      <c r="IC32" s="2764">
        <f t="shared" si="9"/>
        <v>423</v>
      </c>
      <c r="ID32" s="2764">
        <f t="shared" si="10"/>
        <v>372</v>
      </c>
      <c r="IE32" s="2764">
        <f t="shared" si="11"/>
        <v>627</v>
      </c>
      <c r="IF32" s="2764">
        <f t="shared" si="12"/>
        <v>503</v>
      </c>
      <c r="IG32" s="2772">
        <f t="shared" si="13"/>
        <v>551</v>
      </c>
      <c r="IH32" s="2769">
        <f t="shared" si="14"/>
        <v>404</v>
      </c>
      <c r="II32" s="2769">
        <f t="shared" si="15"/>
        <v>628</v>
      </c>
      <c r="IJ32" s="2769">
        <f t="shared" si="16"/>
        <v>607</v>
      </c>
      <c r="IK32" s="2773">
        <f t="shared" si="17"/>
        <v>617</v>
      </c>
      <c r="IL32" s="2774">
        <f t="shared" si="18"/>
        <v>464</v>
      </c>
      <c r="IM32" s="2774">
        <f t="shared" si="19"/>
        <v>787</v>
      </c>
      <c r="IN32" s="2774">
        <f t="shared" si="20"/>
        <v>552</v>
      </c>
      <c r="IO32" s="2775">
        <f t="shared" si="21"/>
        <v>578</v>
      </c>
      <c r="IP32" s="2776">
        <f t="shared" si="22"/>
        <v>2</v>
      </c>
      <c r="IQ32" s="2776">
        <f t="shared" si="60"/>
        <v>32</v>
      </c>
      <c r="IR32" s="2777">
        <f t="shared" si="24"/>
        <v>65</v>
      </c>
      <c r="IS32" s="2772">
        <f t="shared" si="25"/>
        <v>62</v>
      </c>
      <c r="IT32" s="2769">
        <f t="shared" si="26"/>
        <v>90</v>
      </c>
      <c r="IU32" s="2769">
        <f t="shared" si="27"/>
        <v>236</v>
      </c>
      <c r="IV32" s="2769">
        <f t="shared" si="28"/>
        <v>325</v>
      </c>
      <c r="IW32" s="3961">
        <f t="shared" si="46"/>
        <v>326</v>
      </c>
      <c r="IX32" s="3953">
        <f t="shared" si="47"/>
        <v>240</v>
      </c>
      <c r="IY32" s="3953">
        <f t="shared" si="48"/>
        <v>0</v>
      </c>
      <c r="IZ32" s="3962">
        <f t="shared" si="49"/>
        <v>0</v>
      </c>
      <c r="JA32" s="3957"/>
      <c r="JB32" s="3358">
        <v>1660</v>
      </c>
      <c r="JC32" s="3359">
        <v>1851</v>
      </c>
      <c r="JD32" s="3359">
        <v>1764</v>
      </c>
      <c r="JE32" s="3359">
        <v>1603</v>
      </c>
      <c r="JF32" s="3359">
        <v>1666</v>
      </c>
      <c r="JG32" s="3359">
        <v>2002</v>
      </c>
      <c r="JH32" s="3360">
        <v>2018</v>
      </c>
      <c r="JI32" s="3361">
        <v>2210</v>
      </c>
      <c r="JJ32" s="3361">
        <f t="shared" si="29"/>
        <v>2066</v>
      </c>
      <c r="JK32" s="3361">
        <f t="shared" si="30"/>
        <v>1672</v>
      </c>
      <c r="JL32" s="3361">
        <f t="shared" si="31"/>
        <v>1925</v>
      </c>
      <c r="JM32" s="3361">
        <f t="shared" si="32"/>
        <v>2190</v>
      </c>
      <c r="JN32" s="3362">
        <f t="shared" si="0"/>
        <v>2420</v>
      </c>
      <c r="JO32" s="3380">
        <f t="shared" si="33"/>
        <v>677</v>
      </c>
      <c r="JP32" s="3378">
        <f t="shared" si="50"/>
        <v>713</v>
      </c>
      <c r="JQ32" s="3377">
        <f t="shared" si="51"/>
        <v>1167</v>
      </c>
      <c r="JS32" s="4673">
        <f t="shared" si="52"/>
        <v>43</v>
      </c>
      <c r="JT32" s="3579">
        <f t="shared" si="53"/>
        <v>566</v>
      </c>
      <c r="JU32" s="2525"/>
      <c r="JV32" s="3365">
        <f t="shared" si="54"/>
        <v>852.33333333333337</v>
      </c>
      <c r="JW32" s="3366">
        <f t="shared" si="34"/>
        <v>2.66400690857294E-3</v>
      </c>
      <c r="JX32" s="3366">
        <f t="shared" si="35"/>
        <v>2.9482441483096988E-3</v>
      </c>
      <c r="JY32" s="3366">
        <f t="shared" si="55"/>
        <v>3.187772925764192E-3</v>
      </c>
      <c r="JZ32" s="3366">
        <f t="shared" si="36"/>
        <v>3.5225618631732169E-3</v>
      </c>
      <c r="KA32" s="3366">
        <f t="shared" si="37"/>
        <v>3.5468238375900457E-3</v>
      </c>
      <c r="KB32" s="4688">
        <f t="shared" si="38"/>
        <v>2.5374026676536323E-3</v>
      </c>
      <c r="KC32" s="4691">
        <f t="shared" si="56"/>
        <v>2.4394271631364302E-3</v>
      </c>
      <c r="KD32" s="3366"/>
      <c r="KE32" s="3368">
        <f t="shared" si="39"/>
        <v>0.15131578947368429</v>
      </c>
      <c r="KF32" s="3369">
        <f t="shared" si="40"/>
        <v>-0.49023125996810202</v>
      </c>
      <c r="KG32" s="3369">
        <f t="shared" si="41"/>
        <v>0.1376623376623376</v>
      </c>
      <c r="KH32" s="3369">
        <f t="shared" si="42"/>
        <v>0.10502283105022836</v>
      </c>
      <c r="KI32" s="3369">
        <f t="shared" si="43"/>
        <v>-0.72024793388429753</v>
      </c>
      <c r="KJ32" s="3368">
        <f t="shared" si="44"/>
        <v>-0.7053719008264463</v>
      </c>
      <c r="KK32" s="3369">
        <f t="shared" si="57"/>
        <v>5.3175775480059029E-2</v>
      </c>
      <c r="KL32" s="4678">
        <f t="shared" si="59"/>
        <v>-0.51776859504132233</v>
      </c>
      <c r="KM32" s="4678">
        <f t="shared" si="58"/>
        <v>0.63674614305750343</v>
      </c>
      <c r="KN32" s="2525"/>
      <c r="KO32" s="2525"/>
      <c r="KP32" s="2525"/>
      <c r="KQ32" s="2525"/>
      <c r="KR32" s="2525"/>
      <c r="KS32" s="2525"/>
      <c r="KT32" s="2525"/>
      <c r="KU32" s="2525"/>
      <c r="KV32" s="2525"/>
      <c r="KW32" s="2525"/>
      <c r="KX32" s="2525"/>
      <c r="KY32" s="2525"/>
      <c r="KZ32" s="2525"/>
      <c r="LA32" s="2525"/>
      <c r="LB32" s="2525"/>
      <c r="LC32" s="2525"/>
      <c r="LD32" s="2525"/>
      <c r="LE32" s="2525"/>
      <c r="LF32" s="2525"/>
      <c r="LG32" s="2525"/>
      <c r="LH32" s="2525"/>
      <c r="LI32" s="2525"/>
      <c r="LJ32" s="2525"/>
      <c r="LK32" s="2525"/>
      <c r="LL32" s="2525"/>
      <c r="LM32" s="2525"/>
      <c r="LN32" s="2525"/>
      <c r="LO32" s="2525"/>
      <c r="LP32" s="2525"/>
      <c r="LQ32" s="2525"/>
      <c r="LR32" s="2525"/>
    </row>
    <row r="33" spans="1:330" ht="21.9" customHeight="1">
      <c r="A33" s="3382"/>
      <c r="B33" s="3045"/>
      <c r="C33" s="3381" t="s">
        <v>50</v>
      </c>
      <c r="D33" s="3330">
        <v>339</v>
      </c>
      <c r="E33" s="3331">
        <v>210</v>
      </c>
      <c r="F33" s="3331">
        <v>197</v>
      </c>
      <c r="G33" s="3331">
        <v>159</v>
      </c>
      <c r="H33" s="3331">
        <v>91</v>
      </c>
      <c r="I33" s="3331">
        <v>219</v>
      </c>
      <c r="J33" s="3331">
        <v>149</v>
      </c>
      <c r="K33" s="3331">
        <v>85</v>
      </c>
      <c r="L33" s="3331">
        <v>129</v>
      </c>
      <c r="M33" s="3331">
        <v>258</v>
      </c>
      <c r="N33" s="3331">
        <v>319</v>
      </c>
      <c r="O33" s="3332">
        <v>367</v>
      </c>
      <c r="P33" s="3333">
        <v>226</v>
      </c>
      <c r="Q33" s="3334">
        <v>386</v>
      </c>
      <c r="R33" s="3334">
        <v>264</v>
      </c>
      <c r="S33" s="3334">
        <v>123</v>
      </c>
      <c r="T33" s="3334">
        <v>132</v>
      </c>
      <c r="U33" s="3334">
        <v>204</v>
      </c>
      <c r="V33" s="3334">
        <v>173</v>
      </c>
      <c r="W33" s="3334">
        <v>77</v>
      </c>
      <c r="X33" s="3334">
        <v>137</v>
      </c>
      <c r="Y33" s="3334">
        <v>325</v>
      </c>
      <c r="Z33" s="3334">
        <v>450</v>
      </c>
      <c r="AA33" s="3335">
        <v>328</v>
      </c>
      <c r="AB33" s="3336">
        <v>333</v>
      </c>
      <c r="AC33" s="3337">
        <v>256</v>
      </c>
      <c r="AD33" s="3337">
        <v>147</v>
      </c>
      <c r="AE33" s="3337">
        <v>149</v>
      </c>
      <c r="AF33" s="3337">
        <v>162</v>
      </c>
      <c r="AG33" s="3337">
        <v>175</v>
      </c>
      <c r="AH33" s="3337">
        <v>174</v>
      </c>
      <c r="AI33" s="3337">
        <v>70</v>
      </c>
      <c r="AJ33" s="3337">
        <v>125</v>
      </c>
      <c r="AK33" s="3337">
        <v>265</v>
      </c>
      <c r="AL33" s="3337">
        <v>391</v>
      </c>
      <c r="AM33" s="3338">
        <v>315</v>
      </c>
      <c r="AN33" s="3339">
        <v>395</v>
      </c>
      <c r="AO33" s="3340">
        <v>294</v>
      </c>
      <c r="AP33" s="3340">
        <v>272</v>
      </c>
      <c r="AQ33" s="3340">
        <v>88</v>
      </c>
      <c r="AR33" s="3340">
        <v>79</v>
      </c>
      <c r="AS33" s="3340">
        <v>166</v>
      </c>
      <c r="AT33" s="3340">
        <v>142</v>
      </c>
      <c r="AU33" s="3340">
        <v>83</v>
      </c>
      <c r="AV33" s="3340">
        <v>98</v>
      </c>
      <c r="AW33" s="3340">
        <v>145</v>
      </c>
      <c r="AX33" s="3340">
        <v>286</v>
      </c>
      <c r="AY33" s="3341">
        <v>256</v>
      </c>
      <c r="AZ33" s="3277">
        <v>277</v>
      </c>
      <c r="BA33" s="3277">
        <v>260</v>
      </c>
      <c r="BB33" s="3277">
        <v>183</v>
      </c>
      <c r="BC33" s="3277">
        <v>123</v>
      </c>
      <c r="BD33" s="3277">
        <v>86</v>
      </c>
      <c r="BE33" s="3277">
        <v>219</v>
      </c>
      <c r="BF33" s="3277">
        <v>105</v>
      </c>
      <c r="BG33" s="3277">
        <v>112</v>
      </c>
      <c r="BH33" s="3277">
        <v>111</v>
      </c>
      <c r="BI33" s="3277">
        <v>254</v>
      </c>
      <c r="BJ33" s="3277">
        <v>359</v>
      </c>
      <c r="BK33" s="3374">
        <v>276</v>
      </c>
      <c r="BL33" s="3344">
        <v>262</v>
      </c>
      <c r="BM33" s="3345">
        <v>289</v>
      </c>
      <c r="BN33" s="3345">
        <v>213</v>
      </c>
      <c r="BO33" s="3345">
        <v>112</v>
      </c>
      <c r="BP33" s="3345">
        <v>95</v>
      </c>
      <c r="BQ33" s="3345">
        <v>248</v>
      </c>
      <c r="BR33" s="3345">
        <v>156</v>
      </c>
      <c r="BS33" s="3345">
        <v>88</v>
      </c>
      <c r="BT33" s="3346">
        <v>131</v>
      </c>
      <c r="BU33" s="3346">
        <v>245</v>
      </c>
      <c r="BV33" s="3346">
        <v>457</v>
      </c>
      <c r="BW33" s="3347">
        <v>390</v>
      </c>
      <c r="BX33" s="3348">
        <v>285</v>
      </c>
      <c r="BY33" s="3273">
        <v>221</v>
      </c>
      <c r="BZ33" s="3273">
        <v>246</v>
      </c>
      <c r="CA33" s="3273">
        <v>101</v>
      </c>
      <c r="CB33" s="3273">
        <v>77</v>
      </c>
      <c r="CC33" s="3273">
        <v>202</v>
      </c>
      <c r="CD33" s="3273">
        <v>190</v>
      </c>
      <c r="CE33" s="3273">
        <v>55</v>
      </c>
      <c r="CF33" s="3273">
        <v>100</v>
      </c>
      <c r="CG33" s="3273">
        <v>284</v>
      </c>
      <c r="CH33" s="3273">
        <v>378</v>
      </c>
      <c r="CI33" s="3275">
        <v>396</v>
      </c>
      <c r="CJ33" s="3349">
        <v>313</v>
      </c>
      <c r="CK33" s="3350">
        <v>295</v>
      </c>
      <c r="CL33" s="3350">
        <v>198</v>
      </c>
      <c r="CM33" s="3350">
        <v>114</v>
      </c>
      <c r="CN33" s="3350">
        <v>95</v>
      </c>
      <c r="CO33" s="3350">
        <v>180</v>
      </c>
      <c r="CP33" s="3350">
        <v>145</v>
      </c>
      <c r="CQ33" s="3350">
        <v>101</v>
      </c>
      <c r="CR33" s="3350">
        <v>88</v>
      </c>
      <c r="CS33" s="3350">
        <v>305</v>
      </c>
      <c r="CT33" s="3350">
        <v>368</v>
      </c>
      <c r="CU33" s="3351">
        <v>385</v>
      </c>
      <c r="CV33" s="3349">
        <v>271</v>
      </c>
      <c r="CW33" s="3350">
        <v>281</v>
      </c>
      <c r="CX33" s="3272">
        <v>204</v>
      </c>
      <c r="CY33" s="3272">
        <v>122</v>
      </c>
      <c r="CZ33" s="3272">
        <v>83</v>
      </c>
      <c r="DA33" s="3272">
        <v>245</v>
      </c>
      <c r="DB33" s="3272">
        <v>168</v>
      </c>
      <c r="DC33" s="3272">
        <v>86</v>
      </c>
      <c r="DD33" s="3272">
        <v>149</v>
      </c>
      <c r="DE33" s="3272">
        <v>327</v>
      </c>
      <c r="DF33" s="3272">
        <v>370</v>
      </c>
      <c r="DG33" s="3351">
        <v>393</v>
      </c>
      <c r="DH33" s="3352">
        <v>261</v>
      </c>
      <c r="DI33" s="3353">
        <v>243</v>
      </c>
      <c r="DJ33" s="3353">
        <v>222</v>
      </c>
      <c r="DK33" s="3354">
        <v>135</v>
      </c>
      <c r="DL33" s="3354">
        <v>89</v>
      </c>
      <c r="DM33" s="3354">
        <v>230</v>
      </c>
      <c r="DN33" s="3354">
        <v>147</v>
      </c>
      <c r="DO33" s="3354">
        <v>63</v>
      </c>
      <c r="DP33" s="2556">
        <v>96</v>
      </c>
      <c r="DQ33" s="3354">
        <v>338</v>
      </c>
      <c r="DR33" s="3354">
        <v>256</v>
      </c>
      <c r="DS33" s="3355">
        <v>252</v>
      </c>
      <c r="DT33" s="3356">
        <v>197</v>
      </c>
      <c r="DU33" s="3243">
        <v>217</v>
      </c>
      <c r="DV33" s="3243">
        <v>144</v>
      </c>
      <c r="DW33" s="3164">
        <v>145</v>
      </c>
      <c r="DX33" s="3164">
        <v>75</v>
      </c>
      <c r="DY33" s="3164">
        <v>141</v>
      </c>
      <c r="DZ33" s="3164">
        <v>109</v>
      </c>
      <c r="EA33" s="3164">
        <v>77</v>
      </c>
      <c r="EB33" s="3164">
        <v>82</v>
      </c>
      <c r="EC33" s="3164">
        <v>232</v>
      </c>
      <c r="ED33" s="3164">
        <v>376</v>
      </c>
      <c r="EE33" s="3163">
        <v>299</v>
      </c>
      <c r="EF33" s="2532">
        <v>195</v>
      </c>
      <c r="EG33" s="2531">
        <v>235</v>
      </c>
      <c r="EH33" s="2531">
        <v>183</v>
      </c>
      <c r="EI33" s="2531">
        <v>113</v>
      </c>
      <c r="EJ33" s="2531">
        <v>75</v>
      </c>
      <c r="EK33" s="2531">
        <v>182</v>
      </c>
      <c r="EL33" s="2531">
        <v>155</v>
      </c>
      <c r="EM33" s="2557">
        <v>72</v>
      </c>
      <c r="EN33" s="2557">
        <v>97</v>
      </c>
      <c r="EO33" s="2558">
        <v>185</v>
      </c>
      <c r="EP33" s="2558">
        <v>290</v>
      </c>
      <c r="EQ33" s="2559">
        <v>273</v>
      </c>
      <c r="ER33" s="1323">
        <v>248</v>
      </c>
      <c r="ES33" s="3357">
        <v>226</v>
      </c>
      <c r="ET33" s="3357">
        <v>182</v>
      </c>
      <c r="EU33" s="2560">
        <v>104</v>
      </c>
      <c r="EV33" s="2107">
        <v>93</v>
      </c>
      <c r="EW33" s="2107">
        <v>256</v>
      </c>
      <c r="EX33" s="2107">
        <v>199</v>
      </c>
      <c r="EY33" s="2107">
        <v>90</v>
      </c>
      <c r="EZ33" s="2107">
        <v>89</v>
      </c>
      <c r="FA33" s="2274">
        <v>133</v>
      </c>
      <c r="FB33" s="2274">
        <v>278</v>
      </c>
      <c r="FC33" s="2274">
        <v>272</v>
      </c>
      <c r="FD33" s="2608">
        <v>263</v>
      </c>
      <c r="FE33" s="2609">
        <v>231</v>
      </c>
      <c r="FF33" s="2609">
        <v>68</v>
      </c>
      <c r="FG33" s="2609"/>
      <c r="FH33" s="2609">
        <v>3</v>
      </c>
      <c r="FI33" s="2609">
        <v>5</v>
      </c>
      <c r="FJ33" s="2609">
        <v>10</v>
      </c>
      <c r="FK33" s="2609">
        <v>9</v>
      </c>
      <c r="FL33" s="2609">
        <v>15</v>
      </c>
      <c r="FM33" s="2609">
        <v>16</v>
      </c>
      <c r="FN33" s="2609">
        <v>29</v>
      </c>
      <c r="FO33" s="2610">
        <v>37</v>
      </c>
      <c r="FP33" s="2608">
        <v>32</v>
      </c>
      <c r="FQ33" s="2609">
        <v>17</v>
      </c>
      <c r="FR33" s="2609">
        <v>20</v>
      </c>
      <c r="FS33" s="2609">
        <v>15</v>
      </c>
      <c r="FT33" s="2609">
        <v>24</v>
      </c>
      <c r="FU33" s="2609">
        <v>53</v>
      </c>
      <c r="FV33" s="2609">
        <v>55</v>
      </c>
      <c r="FW33" s="2609">
        <v>34</v>
      </c>
      <c r="FX33" s="2609">
        <v>45</v>
      </c>
      <c r="FY33" s="2609">
        <v>53</v>
      </c>
      <c r="FZ33" s="2609">
        <v>63</v>
      </c>
      <c r="GA33" s="2610">
        <v>227</v>
      </c>
      <c r="GB33" s="4659">
        <v>93</v>
      </c>
      <c r="GC33" s="4660">
        <v>94</v>
      </c>
      <c r="GD33" s="4660">
        <v>81</v>
      </c>
      <c r="GE33" s="4660">
        <v>101</v>
      </c>
      <c r="GF33" s="4660">
        <v>58</v>
      </c>
      <c r="GG33" s="4660"/>
      <c r="GH33" s="4660"/>
      <c r="GI33" s="4660"/>
      <c r="GJ33" s="4660"/>
      <c r="GK33" s="4660"/>
      <c r="GL33" s="4660"/>
      <c r="GM33" s="4661"/>
      <c r="GN33" s="2607"/>
      <c r="GO33" s="2754">
        <v>746</v>
      </c>
      <c r="GP33" s="2755">
        <v>469</v>
      </c>
      <c r="GQ33" s="2755">
        <v>363</v>
      </c>
      <c r="GR33" s="2756">
        <v>944</v>
      </c>
      <c r="GS33" s="2757">
        <v>876</v>
      </c>
      <c r="GT33" s="2758">
        <v>459</v>
      </c>
      <c r="GU33" s="2758">
        <v>387</v>
      </c>
      <c r="GV33" s="2759">
        <v>1103</v>
      </c>
      <c r="GW33" s="2760">
        <v>736</v>
      </c>
      <c r="GX33" s="2761">
        <v>486</v>
      </c>
      <c r="GY33" s="2762">
        <v>369</v>
      </c>
      <c r="GZ33" s="2762">
        <v>971</v>
      </c>
      <c r="HA33" s="2763">
        <v>961</v>
      </c>
      <c r="HB33" s="2764">
        <v>333</v>
      </c>
      <c r="HC33" s="2764">
        <v>323</v>
      </c>
      <c r="HD33" s="2765">
        <v>687</v>
      </c>
      <c r="HE33" s="2766">
        <v>720</v>
      </c>
      <c r="HF33" s="2767">
        <v>428</v>
      </c>
      <c r="HG33" s="2767">
        <v>328</v>
      </c>
      <c r="HH33" s="2768">
        <v>889</v>
      </c>
      <c r="HI33" s="2764">
        <v>764</v>
      </c>
      <c r="HJ33" s="2764">
        <v>455</v>
      </c>
      <c r="HK33" s="2764">
        <v>375</v>
      </c>
      <c r="HL33" s="2764">
        <v>1092</v>
      </c>
      <c r="HM33" s="2769">
        <v>752</v>
      </c>
      <c r="HN33" s="2769">
        <v>380</v>
      </c>
      <c r="HO33" s="2769">
        <v>345</v>
      </c>
      <c r="HP33" s="2769">
        <v>1058</v>
      </c>
      <c r="HQ33" s="2770">
        <v>806</v>
      </c>
      <c r="HR33" s="2770">
        <v>389</v>
      </c>
      <c r="HS33" s="2770">
        <f t="shared" si="1"/>
        <v>334</v>
      </c>
      <c r="HT33" s="2770">
        <v>1058</v>
      </c>
      <c r="HU33" s="2771">
        <v>756</v>
      </c>
      <c r="HV33" s="2771">
        <f t="shared" si="2"/>
        <v>450</v>
      </c>
      <c r="HW33" s="2771">
        <f t="shared" si="3"/>
        <v>403</v>
      </c>
      <c r="HX33" s="2770">
        <f t="shared" si="4"/>
        <v>1090</v>
      </c>
      <c r="HY33" s="2689">
        <f t="shared" si="5"/>
        <v>726</v>
      </c>
      <c r="HZ33" s="2689">
        <f t="shared" si="6"/>
        <v>454</v>
      </c>
      <c r="IA33" s="2689">
        <f t="shared" si="7"/>
        <v>462</v>
      </c>
      <c r="IB33" s="2689">
        <f t="shared" si="8"/>
        <v>846</v>
      </c>
      <c r="IC33" s="2764">
        <f t="shared" si="9"/>
        <v>558</v>
      </c>
      <c r="ID33" s="2764">
        <f t="shared" si="10"/>
        <v>361</v>
      </c>
      <c r="IE33" s="2764">
        <f t="shared" si="11"/>
        <v>268</v>
      </c>
      <c r="IF33" s="2764">
        <f t="shared" si="12"/>
        <v>907</v>
      </c>
      <c r="IG33" s="2772">
        <f t="shared" si="13"/>
        <v>613</v>
      </c>
      <c r="IH33" s="2769">
        <f t="shared" si="14"/>
        <v>370</v>
      </c>
      <c r="II33" s="2769">
        <f t="shared" si="15"/>
        <v>324</v>
      </c>
      <c r="IJ33" s="2769">
        <f t="shared" si="16"/>
        <v>748</v>
      </c>
      <c r="IK33" s="2773">
        <f t="shared" si="17"/>
        <v>656</v>
      </c>
      <c r="IL33" s="2774">
        <f t="shared" si="18"/>
        <v>453</v>
      </c>
      <c r="IM33" s="2774">
        <f t="shared" si="19"/>
        <v>378</v>
      </c>
      <c r="IN33" s="2774">
        <f t="shared" si="20"/>
        <v>683</v>
      </c>
      <c r="IO33" s="2775">
        <f t="shared" si="21"/>
        <v>562</v>
      </c>
      <c r="IP33" s="2776">
        <f t="shared" si="22"/>
        <v>8</v>
      </c>
      <c r="IQ33" s="2776">
        <f t="shared" si="60"/>
        <v>34</v>
      </c>
      <c r="IR33" s="2777">
        <f t="shared" si="24"/>
        <v>82</v>
      </c>
      <c r="IS33" s="2772">
        <f t="shared" si="25"/>
        <v>69</v>
      </c>
      <c r="IT33" s="2769">
        <f t="shared" si="26"/>
        <v>92</v>
      </c>
      <c r="IU33" s="2769">
        <f t="shared" si="27"/>
        <v>134</v>
      </c>
      <c r="IV33" s="2769">
        <f t="shared" si="28"/>
        <v>343</v>
      </c>
      <c r="IW33" s="3961">
        <f t="shared" si="46"/>
        <v>268</v>
      </c>
      <c r="IX33" s="3953">
        <f t="shared" si="47"/>
        <v>159</v>
      </c>
      <c r="IY33" s="3953">
        <f t="shared" si="48"/>
        <v>0</v>
      </c>
      <c r="IZ33" s="3962">
        <f t="shared" si="49"/>
        <v>0</v>
      </c>
      <c r="JA33" s="3957"/>
      <c r="JB33" s="3358">
        <v>2522</v>
      </c>
      <c r="JC33" s="3359">
        <v>2825</v>
      </c>
      <c r="JD33" s="3359">
        <v>2562</v>
      </c>
      <c r="JE33" s="3359">
        <v>2304</v>
      </c>
      <c r="JF33" s="3359">
        <v>2365</v>
      </c>
      <c r="JG33" s="3359">
        <v>2686</v>
      </c>
      <c r="JH33" s="3360">
        <v>2535</v>
      </c>
      <c r="JI33" s="3361">
        <v>2587</v>
      </c>
      <c r="JJ33" s="3361">
        <f t="shared" si="29"/>
        <v>2699</v>
      </c>
      <c r="JK33" s="3361">
        <f t="shared" si="30"/>
        <v>2332</v>
      </c>
      <c r="JL33" s="3361">
        <f t="shared" si="31"/>
        <v>2094</v>
      </c>
      <c r="JM33" s="3361">
        <f t="shared" si="32"/>
        <v>2055</v>
      </c>
      <c r="JN33" s="3362">
        <f t="shared" si="0"/>
        <v>2170</v>
      </c>
      <c r="JO33" s="3380">
        <f t="shared" si="33"/>
        <v>686</v>
      </c>
      <c r="JP33" s="3378">
        <f t="shared" si="50"/>
        <v>638</v>
      </c>
      <c r="JQ33" s="3377">
        <f t="shared" si="51"/>
        <v>957</v>
      </c>
      <c r="JS33" s="4673">
        <f t="shared" si="52"/>
        <v>49</v>
      </c>
      <c r="JT33" s="3579">
        <f t="shared" si="53"/>
        <v>427</v>
      </c>
      <c r="JU33" s="2525"/>
      <c r="JV33" s="3365">
        <f t="shared" si="54"/>
        <v>760.33333333333337</v>
      </c>
      <c r="JW33" s="3366">
        <f t="shared" si="34"/>
        <v>3.7155885830096268E-3</v>
      </c>
      <c r="JX33" s="3366">
        <f t="shared" si="35"/>
        <v>3.2070770112002647E-3</v>
      </c>
      <c r="JY33" s="3366">
        <f t="shared" si="55"/>
        <v>2.9912663755458516E-3</v>
      </c>
      <c r="JZ33" s="3366">
        <f t="shared" si="36"/>
        <v>3.1586608442503638E-3</v>
      </c>
      <c r="KA33" s="3366">
        <f t="shared" si="37"/>
        <v>3.5939751146037984E-3</v>
      </c>
      <c r="KB33" s="4688">
        <f t="shared" si="38"/>
        <v>2.2704949536648208E-3</v>
      </c>
      <c r="KC33" s="4691">
        <f t="shared" si="56"/>
        <v>2.0004556941915714E-3</v>
      </c>
      <c r="KD33" s="3366"/>
      <c r="KE33" s="3368">
        <f t="shared" si="39"/>
        <v>-0.10205831903945106</v>
      </c>
      <c r="KF33" s="3369">
        <f t="shared" si="40"/>
        <v>-0.67395654659805604</v>
      </c>
      <c r="KG33" s="3369">
        <f t="shared" si="41"/>
        <v>-1.8624641833810851E-2</v>
      </c>
      <c r="KH33" s="3369">
        <f t="shared" si="42"/>
        <v>5.5961070559610748E-2</v>
      </c>
      <c r="KI33" s="3369">
        <f t="shared" si="43"/>
        <v>-0.68387096774193545</v>
      </c>
      <c r="KJ33" s="3368">
        <f t="shared" si="44"/>
        <v>-0.70599078341013821</v>
      </c>
      <c r="KK33" s="3369">
        <f t="shared" si="57"/>
        <v>-6.9970845481049593E-2</v>
      </c>
      <c r="KL33" s="4678">
        <f t="shared" si="59"/>
        <v>-0.55898617511520743</v>
      </c>
      <c r="KM33" s="4678">
        <f t="shared" si="58"/>
        <v>0.5</v>
      </c>
      <c r="KN33" s="2525"/>
      <c r="KO33" s="2525"/>
      <c r="KP33" s="2525"/>
      <c r="KQ33" s="2525"/>
      <c r="KR33" s="2525"/>
      <c r="KS33" s="2525"/>
      <c r="KT33" s="2525"/>
      <c r="KU33" s="2525"/>
      <c r="KV33" s="2525"/>
      <c r="KW33" s="2525"/>
      <c r="KX33" s="2525"/>
      <c r="KY33" s="2525"/>
      <c r="KZ33" s="2525"/>
      <c r="LA33" s="2525"/>
      <c r="LB33" s="2525"/>
      <c r="LC33" s="2525"/>
      <c r="LD33" s="2525"/>
      <c r="LE33" s="2525"/>
      <c r="LF33" s="2525"/>
      <c r="LG33" s="2525"/>
      <c r="LH33" s="2525"/>
      <c r="LI33" s="2525"/>
      <c r="LJ33" s="2525"/>
      <c r="LK33" s="2525"/>
      <c r="LL33" s="2525"/>
      <c r="LM33" s="2525"/>
      <c r="LN33" s="2525"/>
      <c r="LO33" s="2525"/>
      <c r="LP33" s="2525"/>
      <c r="LQ33" s="2525"/>
      <c r="LR33" s="2525"/>
    </row>
    <row r="34" spans="1:330" ht="21.9" customHeight="1">
      <c r="A34" s="3382"/>
      <c r="B34" s="3045"/>
      <c r="C34" s="3381" t="s">
        <v>1479</v>
      </c>
      <c r="D34" s="3383"/>
      <c r="E34" s="3384"/>
      <c r="F34" s="3384"/>
      <c r="G34" s="3384"/>
      <c r="H34" s="3384"/>
      <c r="I34" s="3384"/>
      <c r="J34" s="3384"/>
      <c r="K34" s="3384"/>
      <c r="L34" s="3384"/>
      <c r="M34" s="3384"/>
      <c r="N34" s="3384"/>
      <c r="O34" s="3385"/>
      <c r="P34" s="3333"/>
      <c r="Q34" s="3334"/>
      <c r="R34" s="3334"/>
      <c r="S34" s="3334"/>
      <c r="T34" s="3334"/>
      <c r="U34" s="3334"/>
      <c r="V34" s="3334"/>
      <c r="W34" s="3334"/>
      <c r="X34" s="3334"/>
      <c r="Y34" s="3334"/>
      <c r="Z34" s="3334"/>
      <c r="AA34" s="3335"/>
      <c r="AB34" s="3336"/>
      <c r="AC34" s="3337"/>
      <c r="AD34" s="3337"/>
      <c r="AE34" s="3337"/>
      <c r="AF34" s="3337"/>
      <c r="AG34" s="3337"/>
      <c r="AH34" s="3337"/>
      <c r="AI34" s="3337"/>
      <c r="AJ34" s="3337"/>
      <c r="AK34" s="3337"/>
      <c r="AL34" s="3337"/>
      <c r="AM34" s="3338"/>
      <c r="AN34" s="3339"/>
      <c r="AO34" s="3340"/>
      <c r="AP34" s="3340"/>
      <c r="AQ34" s="3340"/>
      <c r="AR34" s="3340"/>
      <c r="AS34" s="3340"/>
      <c r="AT34" s="3340"/>
      <c r="AU34" s="3340"/>
      <c r="AV34" s="3340"/>
      <c r="AW34" s="3340"/>
      <c r="AX34" s="3340"/>
      <c r="AY34" s="3341"/>
      <c r="AZ34" s="3277"/>
      <c r="BA34" s="3277"/>
      <c r="BB34" s="3277"/>
      <c r="BC34" s="3277"/>
      <c r="BD34" s="3277"/>
      <c r="BE34" s="3277"/>
      <c r="BF34" s="3277"/>
      <c r="BG34" s="3277"/>
      <c r="BH34" s="3277"/>
      <c r="BI34" s="3277"/>
      <c r="BJ34" s="3277"/>
      <c r="BK34" s="3374"/>
      <c r="BL34" s="3344"/>
      <c r="BM34" s="3345"/>
      <c r="BN34" s="3345"/>
      <c r="BO34" s="3345"/>
      <c r="BP34" s="3345"/>
      <c r="BQ34" s="3345"/>
      <c r="BR34" s="3345"/>
      <c r="BS34" s="3345"/>
      <c r="BT34" s="3346"/>
      <c r="BU34" s="3346"/>
      <c r="BV34" s="3346"/>
      <c r="BW34" s="3347"/>
      <c r="BX34" s="3348"/>
      <c r="BY34" s="3273"/>
      <c r="BZ34" s="3273"/>
      <c r="CA34" s="3273"/>
      <c r="CB34" s="3273"/>
      <c r="CC34" s="3273"/>
      <c r="CD34" s="3273"/>
      <c r="CE34" s="3273"/>
      <c r="CF34" s="3273"/>
      <c r="CG34" s="3273"/>
      <c r="CH34" s="3273"/>
      <c r="CI34" s="3275"/>
      <c r="CJ34" s="3349"/>
      <c r="CK34" s="3350"/>
      <c r="CL34" s="3350"/>
      <c r="CM34" s="3350"/>
      <c r="CN34" s="3350"/>
      <c r="CO34" s="3350"/>
      <c r="CP34" s="3350"/>
      <c r="CQ34" s="3350"/>
      <c r="CR34" s="3350"/>
      <c r="CS34" s="3350"/>
      <c r="CT34" s="3350"/>
      <c r="CU34" s="3351"/>
      <c r="CV34" s="3349"/>
      <c r="CW34" s="3350"/>
      <c r="CX34" s="3272"/>
      <c r="CY34" s="3272"/>
      <c r="CZ34" s="3272"/>
      <c r="DA34" s="3272"/>
      <c r="DB34" s="3272"/>
      <c r="DC34" s="3272"/>
      <c r="DD34" s="3272"/>
      <c r="DE34" s="3272"/>
      <c r="DF34" s="3272"/>
      <c r="DG34" s="3351"/>
      <c r="DH34" s="3352"/>
      <c r="DI34" s="3353"/>
      <c r="DJ34" s="3353"/>
      <c r="DK34" s="3354"/>
      <c r="DL34" s="3354"/>
      <c r="DM34" s="3354"/>
      <c r="DN34" s="3354"/>
      <c r="DO34" s="3354"/>
      <c r="DP34" s="2556"/>
      <c r="DQ34" s="3354"/>
      <c r="DR34" s="3354"/>
      <c r="DS34" s="3355"/>
      <c r="DT34" s="3356"/>
      <c r="DU34" s="3243"/>
      <c r="DV34" s="3243"/>
      <c r="DW34" s="3164"/>
      <c r="DX34" s="3164"/>
      <c r="DY34" s="3164"/>
      <c r="DZ34" s="3164"/>
      <c r="EA34" s="3164"/>
      <c r="EB34" s="3164"/>
      <c r="EC34" s="3164"/>
      <c r="ED34" s="3164"/>
      <c r="EE34" s="3163"/>
      <c r="EF34" s="2532"/>
      <c r="EG34" s="2531"/>
      <c r="EH34" s="2531"/>
      <c r="EI34" s="2531"/>
      <c r="EJ34" s="2531"/>
      <c r="EK34" s="2531"/>
      <c r="EL34" s="2531"/>
      <c r="EM34" s="2557"/>
      <c r="EN34" s="2557"/>
      <c r="EO34" s="2558"/>
      <c r="EP34" s="2558"/>
      <c r="EQ34" s="2559"/>
      <c r="ER34" s="1324">
        <v>114</v>
      </c>
      <c r="ES34" s="3357">
        <v>143</v>
      </c>
      <c r="ET34" s="3357">
        <v>124</v>
      </c>
      <c r="EU34" s="2560">
        <v>128</v>
      </c>
      <c r="EV34" s="2108">
        <v>104</v>
      </c>
      <c r="EW34" s="2108">
        <v>167</v>
      </c>
      <c r="EX34" s="2108">
        <v>137</v>
      </c>
      <c r="EY34" s="2108">
        <v>127</v>
      </c>
      <c r="EZ34" s="2108">
        <v>142</v>
      </c>
      <c r="FA34" s="2276">
        <v>103</v>
      </c>
      <c r="FB34" s="2276">
        <v>135</v>
      </c>
      <c r="FC34" s="2276">
        <v>140</v>
      </c>
      <c r="FD34" s="2615">
        <v>172</v>
      </c>
      <c r="FE34" s="2616">
        <v>158</v>
      </c>
      <c r="FF34" s="2616">
        <v>41</v>
      </c>
      <c r="FG34" s="2616">
        <v>1</v>
      </c>
      <c r="FH34" s="2616">
        <v>0</v>
      </c>
      <c r="FI34" s="2616">
        <v>5</v>
      </c>
      <c r="FJ34" s="2616">
        <v>16</v>
      </c>
      <c r="FK34" s="2616">
        <v>20</v>
      </c>
      <c r="FL34" s="2616">
        <v>22</v>
      </c>
      <c r="FM34" s="2616">
        <v>26</v>
      </c>
      <c r="FN34" s="2616">
        <v>34</v>
      </c>
      <c r="FO34" s="2617">
        <v>37</v>
      </c>
      <c r="FP34" s="2615">
        <v>43</v>
      </c>
      <c r="FQ34" s="2616">
        <v>30</v>
      </c>
      <c r="FR34" s="2616">
        <v>25</v>
      </c>
      <c r="FS34" s="2616">
        <v>34</v>
      </c>
      <c r="FT34" s="2616">
        <v>25</v>
      </c>
      <c r="FU34" s="2616">
        <v>41</v>
      </c>
      <c r="FV34" s="2616">
        <v>50</v>
      </c>
      <c r="FW34" s="2616">
        <v>62</v>
      </c>
      <c r="FX34" s="2616">
        <v>48</v>
      </c>
      <c r="FY34" s="2616">
        <v>74</v>
      </c>
      <c r="FZ34" s="2616">
        <v>104</v>
      </c>
      <c r="GA34" s="2617">
        <v>79</v>
      </c>
      <c r="GB34" s="4659">
        <v>67</v>
      </c>
      <c r="GC34" s="4660">
        <v>106</v>
      </c>
      <c r="GD34" s="4660">
        <v>88</v>
      </c>
      <c r="GE34" s="4660">
        <v>112</v>
      </c>
      <c r="GF34" s="4660">
        <v>107</v>
      </c>
      <c r="GG34" s="4660"/>
      <c r="GH34" s="4660"/>
      <c r="GI34" s="4660"/>
      <c r="GJ34" s="4660"/>
      <c r="GK34" s="4660"/>
      <c r="GL34" s="4660"/>
      <c r="GM34" s="4661"/>
      <c r="GN34" s="2607"/>
      <c r="GO34" s="2754"/>
      <c r="GP34" s="2755"/>
      <c r="GQ34" s="2755"/>
      <c r="GR34" s="2756"/>
      <c r="GS34" s="2757"/>
      <c r="GT34" s="2758"/>
      <c r="GU34" s="2758"/>
      <c r="GV34" s="2759"/>
      <c r="GW34" s="2760"/>
      <c r="GX34" s="2761"/>
      <c r="GY34" s="2762"/>
      <c r="GZ34" s="2762"/>
      <c r="HA34" s="2763"/>
      <c r="HB34" s="2764"/>
      <c r="HC34" s="2764"/>
      <c r="HD34" s="2765"/>
      <c r="HE34" s="2766"/>
      <c r="HF34" s="2767"/>
      <c r="HG34" s="2767"/>
      <c r="HH34" s="2768"/>
      <c r="HI34" s="2764"/>
      <c r="HJ34" s="2764"/>
      <c r="HK34" s="2764"/>
      <c r="HL34" s="2764"/>
      <c r="HM34" s="2769"/>
      <c r="HN34" s="2769"/>
      <c r="HO34" s="2769"/>
      <c r="HP34" s="2769"/>
      <c r="HQ34" s="2770"/>
      <c r="HR34" s="2770"/>
      <c r="HS34" s="2770"/>
      <c r="HT34" s="2770"/>
      <c r="HU34" s="2771"/>
      <c r="HV34" s="2771"/>
      <c r="HW34" s="2771"/>
      <c r="HX34" s="2770"/>
      <c r="HY34" s="2689"/>
      <c r="HZ34" s="2689"/>
      <c r="IA34" s="2689"/>
      <c r="IB34" s="2689"/>
      <c r="IC34" s="2764"/>
      <c r="ID34" s="2764"/>
      <c r="IE34" s="2764"/>
      <c r="IF34" s="2764"/>
      <c r="IG34" s="2772"/>
      <c r="IH34" s="2769"/>
      <c r="II34" s="2769"/>
      <c r="IJ34" s="2769"/>
      <c r="IK34" s="2773">
        <f t="shared" si="17"/>
        <v>381</v>
      </c>
      <c r="IL34" s="2774">
        <f t="shared" si="18"/>
        <v>399</v>
      </c>
      <c r="IM34" s="2774">
        <f t="shared" si="19"/>
        <v>406</v>
      </c>
      <c r="IN34" s="2774">
        <f t="shared" si="20"/>
        <v>378</v>
      </c>
      <c r="IO34" s="2775">
        <f t="shared" si="21"/>
        <v>371</v>
      </c>
      <c r="IP34" s="2776"/>
      <c r="IQ34" s="2776">
        <f t="shared" si="60"/>
        <v>58</v>
      </c>
      <c r="IR34" s="2777">
        <f t="shared" si="24"/>
        <v>97</v>
      </c>
      <c r="IS34" s="2772"/>
      <c r="IT34" s="2769"/>
      <c r="IU34" s="2769"/>
      <c r="IV34" s="2769">
        <f t="shared" si="28"/>
        <v>257</v>
      </c>
      <c r="IW34" s="3961">
        <f t="shared" si="46"/>
        <v>261</v>
      </c>
      <c r="IX34" s="3953">
        <f t="shared" si="47"/>
        <v>219</v>
      </c>
      <c r="IY34" s="3953">
        <f t="shared" si="48"/>
        <v>0</v>
      </c>
      <c r="IZ34" s="3962">
        <f t="shared" si="49"/>
        <v>0</v>
      </c>
      <c r="JA34" s="3957"/>
      <c r="JB34" s="3358"/>
      <c r="JC34" s="3359"/>
      <c r="JD34" s="3359"/>
      <c r="JE34" s="3359"/>
      <c r="JF34" s="3359"/>
      <c r="JG34" s="3359"/>
      <c r="JH34" s="3360"/>
      <c r="JI34" s="3361"/>
      <c r="JJ34" s="3361"/>
      <c r="JK34" s="3361"/>
      <c r="JL34" s="3361"/>
      <c r="JM34" s="3361"/>
      <c r="JN34" s="3362">
        <f t="shared" si="0"/>
        <v>1564</v>
      </c>
      <c r="JO34" s="3380"/>
      <c r="JP34" s="3378">
        <f t="shared" si="50"/>
        <v>615</v>
      </c>
      <c r="JQ34" s="3377">
        <f t="shared" si="51"/>
        <v>938</v>
      </c>
      <c r="JS34" s="4673">
        <f t="shared" si="52"/>
        <v>73</v>
      </c>
      <c r="JT34" s="3579">
        <f t="shared" si="53"/>
        <v>480</v>
      </c>
      <c r="JU34" s="2525"/>
      <c r="JV34" s="3365">
        <f t="shared" si="54"/>
        <v>776.5</v>
      </c>
      <c r="JW34" s="3366"/>
      <c r="JX34" s="3366"/>
      <c r="JY34" s="3366"/>
      <c r="JZ34" s="3366">
        <f t="shared" si="36"/>
        <v>2.2765647743813681E-3</v>
      </c>
      <c r="KA34" s="3366"/>
      <c r="KB34" s="4688">
        <f t="shared" si="38"/>
        <v>2.188643254708252E-3</v>
      </c>
      <c r="KC34" s="4691">
        <f t="shared" si="56"/>
        <v>1.9607392279537032E-3</v>
      </c>
      <c r="KD34" s="3366"/>
      <c r="KE34" s="3368"/>
      <c r="KF34" s="3369"/>
      <c r="KG34" s="3369"/>
      <c r="KH34" s="3369"/>
      <c r="KI34" s="3369"/>
      <c r="KJ34" s="3368" t="str">
        <f>IF(JO34="","",JP34/JN34-1)</f>
        <v/>
      </c>
      <c r="KK34" s="3369" t="str">
        <f t="shared" si="57"/>
        <v/>
      </c>
      <c r="KL34" s="4678">
        <f t="shared" si="59"/>
        <v>-0.40025575447570327</v>
      </c>
      <c r="KM34" s="4678">
        <f t="shared" si="58"/>
        <v>0.52520325203252027</v>
      </c>
      <c r="KN34" s="2525"/>
      <c r="KO34" s="2525"/>
      <c r="KP34" s="2525"/>
      <c r="KQ34" s="2525"/>
      <c r="KR34" s="2525"/>
      <c r="KS34" s="2525"/>
      <c r="KT34" s="2525"/>
      <c r="KU34" s="2525"/>
      <c r="KV34" s="2525"/>
      <c r="KW34" s="2525"/>
      <c r="KX34" s="2525"/>
      <c r="KY34" s="2525"/>
      <c r="KZ34" s="2525"/>
      <c r="LA34" s="2525"/>
      <c r="LB34" s="2525"/>
      <c r="LC34" s="2525"/>
      <c r="LD34" s="2525"/>
      <c r="LE34" s="2525"/>
      <c r="LF34" s="2525"/>
      <c r="LG34" s="2525"/>
      <c r="LH34" s="2525"/>
      <c r="LI34" s="2525"/>
      <c r="LJ34" s="2525"/>
      <c r="LK34" s="2525"/>
      <c r="LL34" s="2525"/>
      <c r="LM34" s="2525"/>
      <c r="LN34" s="2525"/>
      <c r="LO34" s="2525"/>
      <c r="LP34" s="2525"/>
      <c r="LQ34" s="2525"/>
      <c r="LR34" s="2525"/>
    </row>
    <row r="35" spans="1:330" ht="21.9" customHeight="1">
      <c r="A35" s="3382"/>
      <c r="B35" s="3045"/>
      <c r="C35" s="3381" t="s">
        <v>30</v>
      </c>
      <c r="D35" s="3383">
        <v>164</v>
      </c>
      <c r="E35" s="3384">
        <v>248</v>
      </c>
      <c r="F35" s="3384">
        <v>234</v>
      </c>
      <c r="G35" s="3384">
        <v>208</v>
      </c>
      <c r="H35" s="3384">
        <v>139</v>
      </c>
      <c r="I35" s="3384">
        <v>167</v>
      </c>
      <c r="J35" s="3384">
        <v>217</v>
      </c>
      <c r="K35" s="3384">
        <v>310</v>
      </c>
      <c r="L35" s="3384">
        <v>201</v>
      </c>
      <c r="M35" s="3384">
        <v>197</v>
      </c>
      <c r="N35" s="3384">
        <v>288</v>
      </c>
      <c r="O35" s="3385">
        <v>260</v>
      </c>
      <c r="P35" s="3333">
        <v>271</v>
      </c>
      <c r="Q35" s="3334">
        <v>459</v>
      </c>
      <c r="R35" s="3334">
        <v>298</v>
      </c>
      <c r="S35" s="3334">
        <v>187</v>
      </c>
      <c r="T35" s="3334">
        <v>206</v>
      </c>
      <c r="U35" s="3334">
        <v>261</v>
      </c>
      <c r="V35" s="3334">
        <v>251</v>
      </c>
      <c r="W35" s="3334">
        <v>413</v>
      </c>
      <c r="X35" s="3334">
        <v>500</v>
      </c>
      <c r="Y35" s="3334">
        <v>268</v>
      </c>
      <c r="Z35" s="3334">
        <v>279</v>
      </c>
      <c r="AA35" s="3335">
        <v>284</v>
      </c>
      <c r="AB35" s="3336">
        <v>231</v>
      </c>
      <c r="AC35" s="3337">
        <v>272</v>
      </c>
      <c r="AD35" s="3337">
        <v>309</v>
      </c>
      <c r="AE35" s="3337">
        <v>217</v>
      </c>
      <c r="AF35" s="3337">
        <v>201.5</v>
      </c>
      <c r="AG35" s="3337">
        <v>186</v>
      </c>
      <c r="AH35" s="3337">
        <v>319</v>
      </c>
      <c r="AI35" s="3337">
        <v>287</v>
      </c>
      <c r="AJ35" s="3337">
        <v>355</v>
      </c>
      <c r="AK35" s="3337">
        <v>237</v>
      </c>
      <c r="AL35" s="3337">
        <v>212</v>
      </c>
      <c r="AM35" s="3338">
        <v>284</v>
      </c>
      <c r="AN35" s="3339">
        <v>214</v>
      </c>
      <c r="AO35" s="3340">
        <v>229</v>
      </c>
      <c r="AP35" s="3340">
        <v>253</v>
      </c>
      <c r="AQ35" s="3340">
        <v>222</v>
      </c>
      <c r="AR35" s="3340">
        <v>206</v>
      </c>
      <c r="AS35" s="3340">
        <v>292</v>
      </c>
      <c r="AT35" s="3340">
        <v>267</v>
      </c>
      <c r="AU35" s="3340">
        <v>293</v>
      </c>
      <c r="AV35" s="3340">
        <v>423</v>
      </c>
      <c r="AW35" s="3340">
        <v>147</v>
      </c>
      <c r="AX35" s="3340">
        <v>234</v>
      </c>
      <c r="AY35" s="3341">
        <v>268</v>
      </c>
      <c r="AZ35" s="3277">
        <v>162</v>
      </c>
      <c r="BA35" s="3277">
        <v>261</v>
      </c>
      <c r="BB35" s="3277">
        <v>238</v>
      </c>
      <c r="BC35" s="3277">
        <v>206</v>
      </c>
      <c r="BD35" s="3277">
        <v>181</v>
      </c>
      <c r="BE35" s="3277">
        <v>178</v>
      </c>
      <c r="BF35" s="3277">
        <v>207</v>
      </c>
      <c r="BG35" s="3277">
        <v>327</v>
      </c>
      <c r="BH35" s="3277">
        <v>363</v>
      </c>
      <c r="BI35" s="3277">
        <v>308</v>
      </c>
      <c r="BJ35" s="3277">
        <v>257</v>
      </c>
      <c r="BK35" s="3374">
        <v>318</v>
      </c>
      <c r="BL35" s="3344">
        <v>174</v>
      </c>
      <c r="BM35" s="3345">
        <v>210</v>
      </c>
      <c r="BN35" s="3345">
        <v>273</v>
      </c>
      <c r="BO35" s="3345">
        <v>245</v>
      </c>
      <c r="BP35" s="3345">
        <v>198</v>
      </c>
      <c r="BQ35" s="3345">
        <v>263</v>
      </c>
      <c r="BR35" s="3345">
        <v>300</v>
      </c>
      <c r="BS35" s="3345">
        <v>322</v>
      </c>
      <c r="BT35" s="3346">
        <v>392</v>
      </c>
      <c r="BU35" s="3346">
        <v>304</v>
      </c>
      <c r="BV35" s="3346">
        <v>226</v>
      </c>
      <c r="BW35" s="3347">
        <v>380</v>
      </c>
      <c r="BX35" s="3348">
        <v>246</v>
      </c>
      <c r="BY35" s="3273">
        <v>230</v>
      </c>
      <c r="BZ35" s="3273">
        <v>250</v>
      </c>
      <c r="CA35" s="3273">
        <v>268</v>
      </c>
      <c r="CB35" s="3273">
        <v>172</v>
      </c>
      <c r="CC35" s="3273">
        <v>227</v>
      </c>
      <c r="CD35" s="3273">
        <v>231</v>
      </c>
      <c r="CE35" s="3273">
        <v>305</v>
      </c>
      <c r="CF35" s="3273">
        <v>386</v>
      </c>
      <c r="CG35" s="3273">
        <v>233</v>
      </c>
      <c r="CH35" s="3273">
        <v>295</v>
      </c>
      <c r="CI35" s="3275">
        <v>399</v>
      </c>
      <c r="CJ35" s="3349">
        <v>275</v>
      </c>
      <c r="CK35" s="3350">
        <v>249</v>
      </c>
      <c r="CL35" s="3350">
        <v>305</v>
      </c>
      <c r="CM35" s="3350">
        <v>246</v>
      </c>
      <c r="CN35" s="3350">
        <v>181</v>
      </c>
      <c r="CO35" s="3350">
        <v>184</v>
      </c>
      <c r="CP35" s="3350">
        <v>215</v>
      </c>
      <c r="CQ35" s="3350">
        <v>314</v>
      </c>
      <c r="CR35" s="3350">
        <v>322</v>
      </c>
      <c r="CS35" s="3350">
        <v>214</v>
      </c>
      <c r="CT35" s="3350">
        <v>237</v>
      </c>
      <c r="CU35" s="3351">
        <v>326</v>
      </c>
      <c r="CV35" s="3349">
        <v>273</v>
      </c>
      <c r="CW35" s="3350">
        <v>301</v>
      </c>
      <c r="CX35" s="3272">
        <v>306</v>
      </c>
      <c r="CY35" s="3272">
        <v>203</v>
      </c>
      <c r="CZ35" s="3272">
        <v>196</v>
      </c>
      <c r="DA35" s="3272">
        <v>197</v>
      </c>
      <c r="DB35" s="3272">
        <v>197</v>
      </c>
      <c r="DC35" s="3272">
        <v>250</v>
      </c>
      <c r="DD35" s="3272">
        <v>472</v>
      </c>
      <c r="DE35" s="3272">
        <v>190</v>
      </c>
      <c r="DF35" s="3272">
        <v>234</v>
      </c>
      <c r="DG35" s="3351">
        <v>286</v>
      </c>
      <c r="DH35" s="3352">
        <v>237</v>
      </c>
      <c r="DI35" s="3353">
        <v>251</v>
      </c>
      <c r="DJ35" s="3353">
        <v>266</v>
      </c>
      <c r="DK35" s="3354">
        <v>190</v>
      </c>
      <c r="DL35" s="3354">
        <v>172</v>
      </c>
      <c r="DM35" s="3354">
        <v>158</v>
      </c>
      <c r="DN35" s="3354">
        <v>217</v>
      </c>
      <c r="DO35" s="3354">
        <v>207</v>
      </c>
      <c r="DP35" s="2556">
        <v>258</v>
      </c>
      <c r="DQ35" s="3354">
        <v>294</v>
      </c>
      <c r="DR35" s="3354">
        <v>242</v>
      </c>
      <c r="DS35" s="3355">
        <v>290</v>
      </c>
      <c r="DT35" s="3356">
        <v>219</v>
      </c>
      <c r="DU35" s="3243">
        <v>224</v>
      </c>
      <c r="DV35" s="3243">
        <v>359</v>
      </c>
      <c r="DW35" s="3164">
        <v>236</v>
      </c>
      <c r="DX35" s="3164">
        <v>164</v>
      </c>
      <c r="DY35" s="3164">
        <v>225</v>
      </c>
      <c r="DZ35" s="3164">
        <v>222</v>
      </c>
      <c r="EA35" s="3164">
        <v>330</v>
      </c>
      <c r="EB35" s="3164">
        <v>234</v>
      </c>
      <c r="EC35" s="3164">
        <v>240</v>
      </c>
      <c r="ED35" s="3164">
        <v>328</v>
      </c>
      <c r="EE35" s="3163">
        <v>327</v>
      </c>
      <c r="EF35" s="2532">
        <v>253</v>
      </c>
      <c r="EG35" s="2531">
        <v>276</v>
      </c>
      <c r="EH35" s="2531">
        <v>394</v>
      </c>
      <c r="EI35" s="2531">
        <v>291</v>
      </c>
      <c r="EJ35" s="2531">
        <v>230</v>
      </c>
      <c r="EK35" s="2531">
        <v>294</v>
      </c>
      <c r="EL35" s="2531">
        <v>286</v>
      </c>
      <c r="EM35" s="2557">
        <v>421</v>
      </c>
      <c r="EN35" s="2557">
        <v>364</v>
      </c>
      <c r="EO35" s="2558">
        <v>252</v>
      </c>
      <c r="EP35" s="2558">
        <v>303</v>
      </c>
      <c r="EQ35" s="2559">
        <v>333</v>
      </c>
      <c r="ER35" s="1323">
        <v>227</v>
      </c>
      <c r="ES35" s="3357">
        <v>338</v>
      </c>
      <c r="ET35" s="3357">
        <v>267</v>
      </c>
      <c r="EU35" s="2560">
        <v>344</v>
      </c>
      <c r="EV35" s="2107">
        <v>221</v>
      </c>
      <c r="EW35" s="2107">
        <v>258</v>
      </c>
      <c r="EX35" s="2107">
        <v>289</v>
      </c>
      <c r="EY35" s="2107">
        <v>311</v>
      </c>
      <c r="EZ35" s="2107">
        <v>403</v>
      </c>
      <c r="FA35" s="2274">
        <v>155</v>
      </c>
      <c r="FB35" s="2274">
        <v>261</v>
      </c>
      <c r="FC35" s="2274">
        <v>324</v>
      </c>
      <c r="FD35" s="2608">
        <v>334</v>
      </c>
      <c r="FE35" s="2609">
        <v>327</v>
      </c>
      <c r="FF35" s="2609">
        <v>121</v>
      </c>
      <c r="FG35" s="2609"/>
      <c r="FH35" s="2609"/>
      <c r="FI35" s="2609">
        <v>4</v>
      </c>
      <c r="FJ35" s="2609">
        <v>4</v>
      </c>
      <c r="FK35" s="2609">
        <v>5</v>
      </c>
      <c r="FL35" s="2609">
        <v>7</v>
      </c>
      <c r="FM35" s="2609">
        <v>15</v>
      </c>
      <c r="FN35" s="2609">
        <v>16</v>
      </c>
      <c r="FO35" s="2610">
        <v>29</v>
      </c>
      <c r="FP35" s="2608">
        <v>17</v>
      </c>
      <c r="FQ35" s="2609">
        <v>12</v>
      </c>
      <c r="FR35" s="2609">
        <v>11</v>
      </c>
      <c r="FS35" s="2609">
        <v>15</v>
      </c>
      <c r="FT35" s="2609">
        <v>9</v>
      </c>
      <c r="FU35" s="2609">
        <v>22</v>
      </c>
      <c r="FV35" s="2609">
        <v>28</v>
      </c>
      <c r="FW35" s="2609">
        <v>54</v>
      </c>
      <c r="FX35" s="2609">
        <v>29</v>
      </c>
      <c r="FY35" s="2609">
        <v>50</v>
      </c>
      <c r="FZ35" s="2609">
        <v>59</v>
      </c>
      <c r="GA35" s="2610">
        <v>53</v>
      </c>
      <c r="GB35" s="4659">
        <v>35</v>
      </c>
      <c r="GC35" s="4660">
        <v>39</v>
      </c>
      <c r="GD35" s="4660">
        <v>60</v>
      </c>
      <c r="GE35" s="4660">
        <v>67</v>
      </c>
      <c r="GF35" s="4660">
        <v>85</v>
      </c>
      <c r="GG35" s="4660"/>
      <c r="GH35" s="4660"/>
      <c r="GI35" s="4660"/>
      <c r="GJ35" s="4660"/>
      <c r="GK35" s="4660"/>
      <c r="GL35" s="4660"/>
      <c r="GM35" s="4661"/>
      <c r="GN35" s="2607"/>
      <c r="GO35" s="2754">
        <v>646</v>
      </c>
      <c r="GP35" s="2755">
        <v>514</v>
      </c>
      <c r="GQ35" s="2755">
        <v>728</v>
      </c>
      <c r="GR35" s="2756">
        <v>745</v>
      </c>
      <c r="GS35" s="2757">
        <v>1028</v>
      </c>
      <c r="GT35" s="2758">
        <v>654</v>
      </c>
      <c r="GU35" s="2758">
        <v>1164</v>
      </c>
      <c r="GV35" s="2759">
        <v>831</v>
      </c>
      <c r="GW35" s="2760">
        <v>812</v>
      </c>
      <c r="GX35" s="2761">
        <v>604.5</v>
      </c>
      <c r="GY35" s="2762">
        <v>961</v>
      </c>
      <c r="GZ35" s="2762">
        <v>733</v>
      </c>
      <c r="HA35" s="2763">
        <v>696</v>
      </c>
      <c r="HB35" s="2764">
        <v>720</v>
      </c>
      <c r="HC35" s="2764">
        <v>983</v>
      </c>
      <c r="HD35" s="2765">
        <v>649</v>
      </c>
      <c r="HE35" s="2766">
        <v>661</v>
      </c>
      <c r="HF35" s="2767">
        <v>565</v>
      </c>
      <c r="HG35" s="2767">
        <v>897</v>
      </c>
      <c r="HH35" s="2768">
        <v>883</v>
      </c>
      <c r="HI35" s="2764">
        <v>657</v>
      </c>
      <c r="HJ35" s="2764">
        <v>706</v>
      </c>
      <c r="HK35" s="2764">
        <v>1014</v>
      </c>
      <c r="HL35" s="2764">
        <v>910</v>
      </c>
      <c r="HM35" s="2769">
        <v>726</v>
      </c>
      <c r="HN35" s="2769">
        <v>667</v>
      </c>
      <c r="HO35" s="2769">
        <v>922</v>
      </c>
      <c r="HP35" s="2769">
        <v>927</v>
      </c>
      <c r="HQ35" s="2770">
        <v>829</v>
      </c>
      <c r="HR35" s="2770">
        <v>611</v>
      </c>
      <c r="HS35" s="2770">
        <f>+CP35+CQ35+CR35</f>
        <v>851</v>
      </c>
      <c r="HT35" s="2770">
        <v>777</v>
      </c>
      <c r="HU35" s="2771">
        <v>880</v>
      </c>
      <c r="HV35" s="2771">
        <f>+CY35+CZ35+DA35</f>
        <v>596</v>
      </c>
      <c r="HW35" s="2771">
        <f>+DB35+DC35+DD35</f>
        <v>919</v>
      </c>
      <c r="HX35" s="2770">
        <f>+DE35+DF35+DG35</f>
        <v>710</v>
      </c>
      <c r="HY35" s="2689">
        <f>+DH35+DI35+DJ35</f>
        <v>754</v>
      </c>
      <c r="HZ35" s="2689">
        <f>+DM35+DL35+DK35</f>
        <v>520</v>
      </c>
      <c r="IA35" s="2689">
        <f>+DS35+DO35+DN35</f>
        <v>714</v>
      </c>
      <c r="IB35" s="2689">
        <f>+DQ35+DR35+DS35</f>
        <v>826</v>
      </c>
      <c r="IC35" s="2764">
        <f>+DT35+DU35+DV35</f>
        <v>802</v>
      </c>
      <c r="ID35" s="2764">
        <f>+DW35+DX35+DY35</f>
        <v>625</v>
      </c>
      <c r="IE35" s="2764">
        <f>+DZ35+EA35+EB35</f>
        <v>786</v>
      </c>
      <c r="IF35" s="2764">
        <f>+EC35+ED35+EE35</f>
        <v>895</v>
      </c>
      <c r="IG35" s="2772">
        <f>EF35+EG35+EH35</f>
        <v>923</v>
      </c>
      <c r="IH35" s="2769">
        <f>EI35+EJ35+EK35</f>
        <v>815</v>
      </c>
      <c r="II35" s="2769">
        <f>EL35+EM35+EN35</f>
        <v>1071</v>
      </c>
      <c r="IJ35" s="2769">
        <f>EO35+EP35+EQ35</f>
        <v>888</v>
      </c>
      <c r="IK35" s="2773">
        <f>ER35+ES35+ET35</f>
        <v>832</v>
      </c>
      <c r="IL35" s="2774">
        <f>EU35+EV35+EW35</f>
        <v>823</v>
      </c>
      <c r="IM35" s="2774">
        <f>EX35+EY35+EZ35</f>
        <v>1003</v>
      </c>
      <c r="IN35" s="2774">
        <f>FA35+FB35+FC35</f>
        <v>740</v>
      </c>
      <c r="IO35" s="2775">
        <f>FD35+FE35+FF35</f>
        <v>782</v>
      </c>
      <c r="IP35" s="2776">
        <f>FG35+FH35+FI35</f>
        <v>4</v>
      </c>
      <c r="IQ35" s="2776">
        <f>FJ35+FK35+FL35</f>
        <v>16</v>
      </c>
      <c r="IR35" s="2777">
        <f>FM35+FN35+FO35</f>
        <v>60</v>
      </c>
      <c r="IS35" s="2772">
        <f>FP35+FQ35+FR35</f>
        <v>40</v>
      </c>
      <c r="IT35" s="2769">
        <f>FS35+FT35+FU35</f>
        <v>46</v>
      </c>
      <c r="IU35" s="2769">
        <f>FV35+FW35+FX35</f>
        <v>111</v>
      </c>
      <c r="IV35" s="2769">
        <f>FY35+FZ35+GA35</f>
        <v>162</v>
      </c>
      <c r="IW35" s="3961">
        <f t="shared" si="46"/>
        <v>134</v>
      </c>
      <c r="IX35" s="3953">
        <f t="shared" si="47"/>
        <v>152</v>
      </c>
      <c r="IY35" s="3953">
        <f t="shared" si="48"/>
        <v>0</v>
      </c>
      <c r="IZ35" s="3962">
        <f t="shared" si="49"/>
        <v>0</v>
      </c>
      <c r="JA35" s="3957"/>
      <c r="JB35" s="3358">
        <v>2633</v>
      </c>
      <c r="JC35" s="3359">
        <v>3677</v>
      </c>
      <c r="JD35" s="3359">
        <v>3110.5</v>
      </c>
      <c r="JE35" s="3359">
        <v>3048</v>
      </c>
      <c r="JF35" s="3359">
        <v>3006</v>
      </c>
      <c r="JG35" s="3359">
        <v>3287</v>
      </c>
      <c r="JH35" s="3360">
        <v>3242</v>
      </c>
      <c r="JI35" s="3361">
        <v>3068</v>
      </c>
      <c r="JJ35" s="3361">
        <f>SUM(CV35:DG35)</f>
        <v>3105</v>
      </c>
      <c r="JK35" s="3361">
        <f>SUM(DH35:DS35)</f>
        <v>2782</v>
      </c>
      <c r="JL35" s="3361">
        <f>SUM(DT35:EE35)</f>
        <v>3108</v>
      </c>
      <c r="JM35" s="3361">
        <f>SUM(EF35:EQ35)</f>
        <v>3697</v>
      </c>
      <c r="JN35" s="3362">
        <f>SUM(ER35:FC35)</f>
        <v>3398</v>
      </c>
      <c r="JO35" s="3380">
        <f>SUM(FD35:FO35)</f>
        <v>862</v>
      </c>
      <c r="JP35" s="3378">
        <f t="shared" si="50"/>
        <v>359</v>
      </c>
      <c r="JQ35" s="3377">
        <f t="shared" si="51"/>
        <v>581</v>
      </c>
      <c r="JS35" s="4673">
        <f t="shared" si="52"/>
        <v>29</v>
      </c>
      <c r="JT35" s="3579">
        <f t="shared" si="53"/>
        <v>286</v>
      </c>
      <c r="JU35" s="2525"/>
      <c r="JV35" s="3365">
        <f t="shared" si="54"/>
        <v>600.66666666666663</v>
      </c>
      <c r="JW35" s="3366">
        <f>JK35/$JK$39</f>
        <v>4.4325760883073681E-3</v>
      </c>
      <c r="JX35" s="3366">
        <f>JL35/$JL$39</f>
        <v>4.7600741885436594E-3</v>
      </c>
      <c r="JY35" s="3366">
        <f t="shared" ref="JY35:JZ38" si="61">JM35/$JN$39</f>
        <v>5.3813682678311497E-3</v>
      </c>
      <c r="JZ35" s="3366">
        <f t="shared" si="61"/>
        <v>4.9461426491994179E-3</v>
      </c>
      <c r="KA35" s="3366">
        <f>JO35/$JO$39</f>
        <v>4.5160445317616238E-3</v>
      </c>
      <c r="KB35" s="4688">
        <f t="shared" si="38"/>
        <v>1.277598257626443E-3</v>
      </c>
      <c r="KC35" s="4691">
        <f t="shared" si="56"/>
        <v>1.214487730747443E-3</v>
      </c>
      <c r="KD35" s="3366"/>
      <c r="KE35" s="3368">
        <f>JL35/JK35-1</f>
        <v>0.11718188353702375</v>
      </c>
      <c r="KF35" s="3369">
        <f>JV35/JK35-1</f>
        <v>-0.78408818595734486</v>
      </c>
      <c r="KG35" s="3369">
        <f t="shared" ref="KG35:KI37" si="62">JM35/JL35-1</f>
        <v>0.18951093951093956</v>
      </c>
      <c r="KH35" s="3369">
        <f t="shared" si="62"/>
        <v>-8.0876386259129074E-2</v>
      </c>
      <c r="KI35" s="3369">
        <f t="shared" si="62"/>
        <v>-0.74632136550912298</v>
      </c>
      <c r="KJ35" s="3368">
        <f>JP35/JN35-1</f>
        <v>-0.89434961742201291</v>
      </c>
      <c r="KK35" s="3369">
        <f t="shared" si="57"/>
        <v>-0.58352668213457082</v>
      </c>
      <c r="KL35" s="4678">
        <f t="shared" si="59"/>
        <v>-0.8290170688640377</v>
      </c>
      <c r="KM35" s="4678">
        <f t="shared" si="58"/>
        <v>0.61838440111420612</v>
      </c>
      <c r="KN35" s="3045"/>
      <c r="KO35" s="3045"/>
      <c r="KP35" s="3045"/>
      <c r="KQ35" s="3045"/>
      <c r="KR35" s="3045"/>
      <c r="KS35" s="3045"/>
      <c r="KT35" s="3045"/>
      <c r="KU35" s="3045"/>
      <c r="KV35" s="3045"/>
      <c r="KW35" s="3045"/>
      <c r="KX35" s="3045"/>
      <c r="KY35" s="3045"/>
      <c r="KZ35" s="3045"/>
      <c r="LA35" s="3045"/>
      <c r="LB35" s="3045"/>
      <c r="LC35" s="3045"/>
      <c r="LD35" s="3045"/>
      <c r="LE35" s="3045"/>
      <c r="LF35" s="3045"/>
      <c r="LG35" s="3045"/>
      <c r="LH35" s="3045"/>
      <c r="LI35" s="3045"/>
      <c r="LJ35" s="3045"/>
      <c r="LK35" s="2525"/>
      <c r="LL35" s="2525"/>
      <c r="LM35" s="2525"/>
      <c r="LN35" s="2525"/>
      <c r="LO35" s="2525"/>
      <c r="LP35" s="2525"/>
      <c r="LQ35" s="2525"/>
      <c r="LR35" s="2525"/>
    </row>
    <row r="36" spans="1:330" ht="21.9" customHeight="1">
      <c r="A36" s="3382"/>
      <c r="B36" s="3045"/>
      <c r="C36" s="3381" t="s">
        <v>31</v>
      </c>
      <c r="D36" s="3383">
        <v>286</v>
      </c>
      <c r="E36" s="3384">
        <v>223</v>
      </c>
      <c r="F36" s="3384">
        <v>234</v>
      </c>
      <c r="G36" s="3384">
        <v>325</v>
      </c>
      <c r="H36" s="3384">
        <v>318</v>
      </c>
      <c r="I36" s="3384">
        <v>277</v>
      </c>
      <c r="J36" s="3384">
        <v>322</v>
      </c>
      <c r="K36" s="3384">
        <v>300</v>
      </c>
      <c r="L36" s="3384">
        <v>421</v>
      </c>
      <c r="M36" s="3384">
        <v>451</v>
      </c>
      <c r="N36" s="3384">
        <v>458</v>
      </c>
      <c r="O36" s="3385">
        <v>428</v>
      </c>
      <c r="P36" s="3333">
        <v>405</v>
      </c>
      <c r="Q36" s="3334">
        <v>516</v>
      </c>
      <c r="R36" s="3334">
        <v>459</v>
      </c>
      <c r="S36" s="3334">
        <v>570</v>
      </c>
      <c r="T36" s="3334">
        <v>475</v>
      </c>
      <c r="U36" s="3334">
        <v>319</v>
      </c>
      <c r="V36" s="3334">
        <v>354</v>
      </c>
      <c r="W36" s="3334">
        <v>498</v>
      </c>
      <c r="X36" s="3334">
        <v>495</v>
      </c>
      <c r="Y36" s="3334">
        <v>611</v>
      </c>
      <c r="Z36" s="3334">
        <v>484</v>
      </c>
      <c r="AA36" s="3335">
        <v>517</v>
      </c>
      <c r="AB36" s="3336">
        <v>373</v>
      </c>
      <c r="AC36" s="3337">
        <v>273</v>
      </c>
      <c r="AD36" s="3337">
        <v>366</v>
      </c>
      <c r="AE36" s="3337">
        <v>426</v>
      </c>
      <c r="AF36" s="3337">
        <v>404</v>
      </c>
      <c r="AG36" s="3337">
        <v>382</v>
      </c>
      <c r="AH36" s="3337">
        <v>369</v>
      </c>
      <c r="AI36" s="3337">
        <v>469</v>
      </c>
      <c r="AJ36" s="3337">
        <v>494</v>
      </c>
      <c r="AK36" s="3337">
        <v>512</v>
      </c>
      <c r="AL36" s="3337">
        <v>510</v>
      </c>
      <c r="AM36" s="3338">
        <v>568</v>
      </c>
      <c r="AN36" s="3339">
        <v>469</v>
      </c>
      <c r="AO36" s="3340">
        <v>260</v>
      </c>
      <c r="AP36" s="3340">
        <v>424</v>
      </c>
      <c r="AQ36" s="3340">
        <v>545</v>
      </c>
      <c r="AR36" s="3340">
        <v>529</v>
      </c>
      <c r="AS36" s="3340">
        <v>447</v>
      </c>
      <c r="AT36" s="3340">
        <v>422</v>
      </c>
      <c r="AU36" s="3340">
        <v>436</v>
      </c>
      <c r="AV36" s="3340">
        <v>464</v>
      </c>
      <c r="AW36" s="3340">
        <v>558</v>
      </c>
      <c r="AX36" s="3340">
        <v>513</v>
      </c>
      <c r="AY36" s="3341">
        <v>529</v>
      </c>
      <c r="AZ36" s="3277">
        <v>503</v>
      </c>
      <c r="BA36" s="3277">
        <v>295</v>
      </c>
      <c r="BB36" s="3277">
        <v>499</v>
      </c>
      <c r="BC36" s="3277">
        <v>579</v>
      </c>
      <c r="BD36" s="3277">
        <v>572</v>
      </c>
      <c r="BE36" s="3277">
        <v>431</v>
      </c>
      <c r="BF36" s="3277">
        <v>461</v>
      </c>
      <c r="BG36" s="3277">
        <v>457</v>
      </c>
      <c r="BH36" s="3277">
        <v>507</v>
      </c>
      <c r="BI36" s="3277">
        <v>654</v>
      </c>
      <c r="BJ36" s="3277">
        <v>660</v>
      </c>
      <c r="BK36" s="3374">
        <v>629</v>
      </c>
      <c r="BL36" s="3344">
        <v>536</v>
      </c>
      <c r="BM36" s="3345">
        <v>420</v>
      </c>
      <c r="BN36" s="3345">
        <v>480</v>
      </c>
      <c r="BO36" s="3345">
        <v>593</v>
      </c>
      <c r="BP36" s="3345">
        <v>610</v>
      </c>
      <c r="BQ36" s="3345">
        <v>556</v>
      </c>
      <c r="BR36" s="3345">
        <v>521</v>
      </c>
      <c r="BS36" s="3345">
        <v>484</v>
      </c>
      <c r="BT36" s="3346">
        <v>574</v>
      </c>
      <c r="BU36" s="3346">
        <v>718</v>
      </c>
      <c r="BV36" s="3346">
        <v>763</v>
      </c>
      <c r="BW36" s="3347">
        <v>706</v>
      </c>
      <c r="BX36" s="3348">
        <v>565</v>
      </c>
      <c r="BY36" s="3273">
        <v>412</v>
      </c>
      <c r="BZ36" s="3273">
        <v>599</v>
      </c>
      <c r="CA36" s="3273">
        <v>660</v>
      </c>
      <c r="CB36" s="3273">
        <v>613</v>
      </c>
      <c r="CC36" s="3273">
        <v>626</v>
      </c>
      <c r="CD36" s="3273">
        <v>532</v>
      </c>
      <c r="CE36" s="3273">
        <v>589</v>
      </c>
      <c r="CF36" s="3273">
        <v>750</v>
      </c>
      <c r="CG36" s="3273">
        <v>677</v>
      </c>
      <c r="CH36" s="3273">
        <v>706</v>
      </c>
      <c r="CI36" s="3275">
        <v>603</v>
      </c>
      <c r="CJ36" s="3349">
        <v>557</v>
      </c>
      <c r="CK36" s="3350">
        <v>399</v>
      </c>
      <c r="CL36" s="3350">
        <v>522</v>
      </c>
      <c r="CM36" s="3350">
        <v>690</v>
      </c>
      <c r="CN36" s="3350">
        <v>757</v>
      </c>
      <c r="CO36" s="3350">
        <v>705</v>
      </c>
      <c r="CP36" s="3350">
        <v>631</v>
      </c>
      <c r="CQ36" s="3350">
        <v>767</v>
      </c>
      <c r="CR36" s="3350">
        <v>753</v>
      </c>
      <c r="CS36" s="3350">
        <v>725</v>
      </c>
      <c r="CT36" s="3350">
        <v>711</v>
      </c>
      <c r="CU36" s="3351">
        <v>758</v>
      </c>
      <c r="CV36" s="3349">
        <v>729</v>
      </c>
      <c r="CW36" s="3350">
        <v>449</v>
      </c>
      <c r="CX36" s="3272">
        <v>579</v>
      </c>
      <c r="CY36" s="3272">
        <v>650</v>
      </c>
      <c r="CZ36" s="3272">
        <v>806</v>
      </c>
      <c r="DA36" s="3272">
        <v>606</v>
      </c>
      <c r="DB36" s="3272">
        <v>591</v>
      </c>
      <c r="DC36" s="3272">
        <v>464</v>
      </c>
      <c r="DD36" s="3272">
        <v>741</v>
      </c>
      <c r="DE36" s="3272">
        <v>750</v>
      </c>
      <c r="DF36" s="3272">
        <v>556</v>
      </c>
      <c r="DG36" s="3351">
        <v>690</v>
      </c>
      <c r="DH36" s="3352">
        <v>609</v>
      </c>
      <c r="DI36" s="3353">
        <v>395</v>
      </c>
      <c r="DJ36" s="3353">
        <v>546</v>
      </c>
      <c r="DK36" s="3354">
        <v>650</v>
      </c>
      <c r="DL36" s="3354">
        <v>636</v>
      </c>
      <c r="DM36" s="3354">
        <v>511</v>
      </c>
      <c r="DN36" s="3354">
        <v>541</v>
      </c>
      <c r="DO36" s="3354">
        <v>566</v>
      </c>
      <c r="DP36" s="2556">
        <v>611</v>
      </c>
      <c r="DQ36" s="3354">
        <v>811</v>
      </c>
      <c r="DR36" s="3354">
        <v>600</v>
      </c>
      <c r="DS36" s="3355">
        <v>536</v>
      </c>
      <c r="DT36" s="3356">
        <v>502</v>
      </c>
      <c r="DU36" s="3243">
        <v>379</v>
      </c>
      <c r="DV36" s="3243">
        <v>480</v>
      </c>
      <c r="DW36" s="3164">
        <v>624</v>
      </c>
      <c r="DX36" s="3164">
        <v>603</v>
      </c>
      <c r="DY36" s="3164">
        <v>484</v>
      </c>
      <c r="DZ36" s="3164">
        <v>514</v>
      </c>
      <c r="EA36" s="3164">
        <v>473</v>
      </c>
      <c r="EB36" s="3164">
        <v>733</v>
      </c>
      <c r="EC36" s="3164">
        <v>686</v>
      </c>
      <c r="ED36" s="3164">
        <v>593</v>
      </c>
      <c r="EE36" s="3163">
        <v>569</v>
      </c>
      <c r="EF36" s="2532">
        <v>523</v>
      </c>
      <c r="EG36" s="2531">
        <v>452</v>
      </c>
      <c r="EH36" s="2531">
        <v>441</v>
      </c>
      <c r="EI36" s="2531">
        <v>586</v>
      </c>
      <c r="EJ36" s="2531">
        <v>641</v>
      </c>
      <c r="EK36" s="2531">
        <v>594</v>
      </c>
      <c r="EL36" s="2531">
        <v>593</v>
      </c>
      <c r="EM36" s="2557">
        <v>523</v>
      </c>
      <c r="EN36" s="2557">
        <v>644</v>
      </c>
      <c r="EO36" s="2558">
        <v>673</v>
      </c>
      <c r="EP36" s="2558">
        <v>567</v>
      </c>
      <c r="EQ36" s="2559">
        <v>592</v>
      </c>
      <c r="ER36" s="1321">
        <v>571</v>
      </c>
      <c r="ES36" s="3357">
        <v>364</v>
      </c>
      <c r="ET36" s="3357">
        <v>471</v>
      </c>
      <c r="EU36" s="2560">
        <v>623</v>
      </c>
      <c r="EV36" s="2105">
        <v>642</v>
      </c>
      <c r="EW36" s="2105">
        <v>533</v>
      </c>
      <c r="EX36" s="2105">
        <v>547</v>
      </c>
      <c r="EY36" s="2105">
        <v>544</v>
      </c>
      <c r="EZ36" s="2105">
        <v>664</v>
      </c>
      <c r="FA36" s="2275">
        <v>547</v>
      </c>
      <c r="FB36" s="2275">
        <v>572</v>
      </c>
      <c r="FC36" s="2275">
        <v>604</v>
      </c>
      <c r="FD36" s="2615">
        <v>647</v>
      </c>
      <c r="FE36" s="2616">
        <v>431</v>
      </c>
      <c r="FF36" s="2616">
        <v>182</v>
      </c>
      <c r="FG36" s="2616">
        <v>2</v>
      </c>
      <c r="FH36" s="2616">
        <v>4</v>
      </c>
      <c r="FI36" s="2616">
        <v>5</v>
      </c>
      <c r="FJ36" s="2616">
        <v>7</v>
      </c>
      <c r="FK36" s="2616">
        <v>5</v>
      </c>
      <c r="FL36" s="2616">
        <v>7</v>
      </c>
      <c r="FM36" s="2616">
        <v>13</v>
      </c>
      <c r="FN36" s="2616">
        <v>30</v>
      </c>
      <c r="FO36" s="2617">
        <v>13</v>
      </c>
      <c r="FP36" s="2615">
        <v>12</v>
      </c>
      <c r="FQ36" s="2616">
        <v>4</v>
      </c>
      <c r="FR36" s="2616">
        <v>13</v>
      </c>
      <c r="FS36" s="2616">
        <v>17</v>
      </c>
      <c r="FT36" s="2616">
        <v>12</v>
      </c>
      <c r="FU36" s="2616">
        <v>32</v>
      </c>
      <c r="FV36" s="2616">
        <v>25</v>
      </c>
      <c r="FW36" s="2616">
        <v>26</v>
      </c>
      <c r="FX36" s="2616">
        <v>18</v>
      </c>
      <c r="FY36" s="2616">
        <v>21</v>
      </c>
      <c r="FZ36" s="2616">
        <v>38</v>
      </c>
      <c r="GA36" s="2617">
        <v>70</v>
      </c>
      <c r="GB36" s="4659">
        <v>56</v>
      </c>
      <c r="GC36" s="4660">
        <v>64</v>
      </c>
      <c r="GD36" s="4660">
        <v>109</v>
      </c>
      <c r="GE36" s="4660">
        <v>121</v>
      </c>
      <c r="GF36" s="4660">
        <v>131</v>
      </c>
      <c r="GG36" s="4660"/>
      <c r="GH36" s="4660"/>
      <c r="GI36" s="4660"/>
      <c r="GJ36" s="4660"/>
      <c r="GK36" s="4660"/>
      <c r="GL36" s="4660"/>
      <c r="GM36" s="4661"/>
      <c r="GN36" s="2607"/>
      <c r="GO36" s="2754">
        <v>743</v>
      </c>
      <c r="GP36" s="2755">
        <v>920</v>
      </c>
      <c r="GQ36" s="2755">
        <v>1043</v>
      </c>
      <c r="GR36" s="2756">
        <v>1337</v>
      </c>
      <c r="GS36" s="2757">
        <v>1380</v>
      </c>
      <c r="GT36" s="2758">
        <v>1364</v>
      </c>
      <c r="GU36" s="2758">
        <v>1347</v>
      </c>
      <c r="GV36" s="2759">
        <v>1612</v>
      </c>
      <c r="GW36" s="2760">
        <v>1012</v>
      </c>
      <c r="GX36" s="2761">
        <v>1212</v>
      </c>
      <c r="GY36" s="2762">
        <v>1332</v>
      </c>
      <c r="GZ36" s="2762">
        <v>1590</v>
      </c>
      <c r="HA36" s="2763">
        <v>1153</v>
      </c>
      <c r="HB36" s="2764">
        <v>1521</v>
      </c>
      <c r="HC36" s="2764">
        <v>1322</v>
      </c>
      <c r="HD36" s="2765">
        <v>1600</v>
      </c>
      <c r="HE36" s="2766">
        <v>1297</v>
      </c>
      <c r="HF36" s="2767">
        <v>1582</v>
      </c>
      <c r="HG36" s="2767">
        <v>1425</v>
      </c>
      <c r="HH36" s="2768">
        <v>1943</v>
      </c>
      <c r="HI36" s="2764">
        <v>1436</v>
      </c>
      <c r="HJ36" s="2764">
        <v>1759</v>
      </c>
      <c r="HK36" s="2764">
        <v>1579</v>
      </c>
      <c r="HL36" s="2764">
        <v>2187</v>
      </c>
      <c r="HM36" s="2769">
        <v>1576</v>
      </c>
      <c r="HN36" s="2769">
        <v>1899</v>
      </c>
      <c r="HO36" s="2769">
        <v>1871</v>
      </c>
      <c r="HP36" s="2769">
        <v>1986</v>
      </c>
      <c r="HQ36" s="2770">
        <v>1478</v>
      </c>
      <c r="HR36" s="2770">
        <v>2152</v>
      </c>
      <c r="HS36" s="2770">
        <f>+CP36+CQ36+CR36</f>
        <v>2151</v>
      </c>
      <c r="HT36" s="2770">
        <v>2194</v>
      </c>
      <c r="HU36" s="2771">
        <v>1757</v>
      </c>
      <c r="HV36" s="2771">
        <f>+CY36+CZ36+DA36</f>
        <v>2062</v>
      </c>
      <c r="HW36" s="2771">
        <f>+DB36+DC36+DD36</f>
        <v>1796</v>
      </c>
      <c r="HX36" s="2770">
        <f>+DE36+DF36+DG36</f>
        <v>1996</v>
      </c>
      <c r="HY36" s="2689">
        <f>+DH36+DI36+DJ36</f>
        <v>1550</v>
      </c>
      <c r="HZ36" s="2689">
        <f>+DM36+DL36+DK36</f>
        <v>1797</v>
      </c>
      <c r="IA36" s="2689">
        <f>+DS36+DO36+DN36</f>
        <v>1643</v>
      </c>
      <c r="IB36" s="2689">
        <f>+DQ36+DR36+DS36</f>
        <v>1947</v>
      </c>
      <c r="IC36" s="2764">
        <f>+DT36+DU36+DV36</f>
        <v>1361</v>
      </c>
      <c r="ID36" s="2764">
        <f>+DW36+DX36+DY36</f>
        <v>1711</v>
      </c>
      <c r="IE36" s="2764">
        <f>+DZ36+EA36+EB36</f>
        <v>1720</v>
      </c>
      <c r="IF36" s="2764">
        <f>+EC36+ED36+EE36</f>
        <v>1848</v>
      </c>
      <c r="IG36" s="2772">
        <f>EF36+EG36+EH36</f>
        <v>1416</v>
      </c>
      <c r="IH36" s="2769">
        <f>EI36+EJ36+EK36</f>
        <v>1821</v>
      </c>
      <c r="II36" s="2769">
        <f>EL36+EM36+EN36</f>
        <v>1760</v>
      </c>
      <c r="IJ36" s="2769">
        <f>EO36+EP36+EQ36</f>
        <v>1832</v>
      </c>
      <c r="IK36" s="2773">
        <f>ER36+ES36+ET36</f>
        <v>1406</v>
      </c>
      <c r="IL36" s="2774">
        <f>EU36+EV36+EW36</f>
        <v>1798</v>
      </c>
      <c r="IM36" s="2774">
        <f>EX36+EY36+EZ36</f>
        <v>1755</v>
      </c>
      <c r="IN36" s="2774">
        <f>FA36+FB36+FC36</f>
        <v>1723</v>
      </c>
      <c r="IO36" s="2775">
        <f>FD36+FE36+FF36</f>
        <v>1260</v>
      </c>
      <c r="IP36" s="2776">
        <f>FG36+FH36+FI36</f>
        <v>11</v>
      </c>
      <c r="IQ36" s="2776">
        <f>FJ36+FK36+FL36</f>
        <v>19</v>
      </c>
      <c r="IR36" s="2777">
        <f>FM36+FN36+FO36</f>
        <v>56</v>
      </c>
      <c r="IS36" s="2772">
        <f>FP36+FQ36+FR36</f>
        <v>29</v>
      </c>
      <c r="IT36" s="2769">
        <f>FS36+FT36+FU36</f>
        <v>61</v>
      </c>
      <c r="IU36" s="2769">
        <f>FV36+FW36+FX36</f>
        <v>69</v>
      </c>
      <c r="IV36" s="2769">
        <f>FY36+FZ36+GA36</f>
        <v>129</v>
      </c>
      <c r="IW36" s="3961">
        <f t="shared" si="46"/>
        <v>229</v>
      </c>
      <c r="IX36" s="3953">
        <f t="shared" si="47"/>
        <v>252</v>
      </c>
      <c r="IY36" s="3953">
        <f t="shared" si="48"/>
        <v>0</v>
      </c>
      <c r="IZ36" s="3962">
        <f t="shared" si="49"/>
        <v>0</v>
      </c>
      <c r="JA36" s="3957"/>
      <c r="JB36" s="3358">
        <v>4043</v>
      </c>
      <c r="JC36" s="3359">
        <v>5703</v>
      </c>
      <c r="JD36" s="3359">
        <v>5146</v>
      </c>
      <c r="JE36" s="3359">
        <v>5596</v>
      </c>
      <c r="JF36" s="3359">
        <v>6247</v>
      </c>
      <c r="JG36" s="3359">
        <v>6961</v>
      </c>
      <c r="JH36" s="3360">
        <v>7332</v>
      </c>
      <c r="JI36" s="3361">
        <v>7975</v>
      </c>
      <c r="JJ36" s="3361">
        <f>SUM(CV36:DG36)</f>
        <v>7611</v>
      </c>
      <c r="JK36" s="3361">
        <f>SUM(DH36:DS36)</f>
        <v>7012</v>
      </c>
      <c r="JL36" s="3361">
        <f>SUM(DT36:EE36)</f>
        <v>6640</v>
      </c>
      <c r="JM36" s="3361">
        <f>SUM(EF36:EQ36)</f>
        <v>6829</v>
      </c>
      <c r="JN36" s="3362">
        <f>SUM(ER36:FC36)</f>
        <v>6682</v>
      </c>
      <c r="JO36" s="3380">
        <f>SUM(FD36:FO36)</f>
        <v>1346</v>
      </c>
      <c r="JP36" s="3378">
        <f t="shared" si="50"/>
        <v>288</v>
      </c>
      <c r="JQ36" s="3377">
        <f t="shared" si="51"/>
        <v>711</v>
      </c>
      <c r="JS36" s="4673">
        <f t="shared" si="52"/>
        <v>16</v>
      </c>
      <c r="JT36" s="3579">
        <f t="shared" si="53"/>
        <v>481</v>
      </c>
      <c r="JU36" s="2525"/>
      <c r="JV36" s="3365">
        <f t="shared" si="54"/>
        <v>781.66666666666663</v>
      </c>
      <c r="JW36" s="3366">
        <f>JK36/$JK$39</f>
        <v>1.1172258638106133E-2</v>
      </c>
      <c r="JX36" s="3366">
        <f>JL36/$JL$39</f>
        <v>1.0169527867416312E-2</v>
      </c>
      <c r="JY36" s="3366">
        <f t="shared" si="61"/>
        <v>9.9403202328966524E-3</v>
      </c>
      <c r="JZ36" s="3366">
        <f t="shared" si="61"/>
        <v>9.726346433770015E-3</v>
      </c>
      <c r="KA36" s="3366">
        <f>JO36/$JO$39</f>
        <v>7.0517354289456454E-3</v>
      </c>
      <c r="KB36" s="4688">
        <f t="shared" si="38"/>
        <v>1.0249256217170352E-3</v>
      </c>
      <c r="KC36" s="4691">
        <f t="shared" si="56"/>
        <v>1.4862319734275937E-3</v>
      </c>
      <c r="KD36" s="3366"/>
      <c r="KE36" s="3368">
        <f>JL36/JK36-1</f>
        <v>-5.3051911009697639E-2</v>
      </c>
      <c r="KF36" s="3369">
        <f>JV36/JK36-1</f>
        <v>-0.88852443430309946</v>
      </c>
      <c r="KG36" s="3369">
        <f t="shared" si="62"/>
        <v>2.8463855421686723E-2</v>
      </c>
      <c r="KH36" s="3369">
        <f t="shared" si="62"/>
        <v>-2.1525845658222242E-2</v>
      </c>
      <c r="KI36" s="3369">
        <f t="shared" si="62"/>
        <v>-0.79856330439988032</v>
      </c>
      <c r="KJ36" s="3368">
        <f>JP36/JN36-1</f>
        <v>-0.9568991319964083</v>
      </c>
      <c r="KK36" s="3369">
        <f t="shared" si="57"/>
        <v>-0.78603268945022287</v>
      </c>
      <c r="KL36" s="4678">
        <f t="shared" si="59"/>
        <v>-0.89359473211613294</v>
      </c>
      <c r="KM36" s="4678">
        <f t="shared" si="58"/>
        <v>1.46875</v>
      </c>
      <c r="KN36" s="3045"/>
      <c r="KO36" s="3045"/>
      <c r="KP36" s="3045"/>
      <c r="KQ36" s="3045"/>
      <c r="KR36" s="3045"/>
      <c r="KS36" s="3045"/>
      <c r="KT36" s="3045"/>
      <c r="KU36" s="3045"/>
      <c r="KV36" s="3045"/>
      <c r="KW36" s="3045"/>
      <c r="KX36" s="3045"/>
      <c r="KY36" s="3045"/>
      <c r="KZ36" s="3045"/>
      <c r="LA36" s="3045"/>
      <c r="LB36" s="3045"/>
      <c r="LC36" s="3045"/>
      <c r="LD36" s="3045"/>
      <c r="LE36" s="3045"/>
      <c r="LF36" s="3045"/>
      <c r="LG36" s="3045"/>
      <c r="LH36" s="3045"/>
      <c r="LI36" s="3045"/>
      <c r="LJ36" s="3045"/>
      <c r="LK36" s="2525"/>
      <c r="LL36" s="2525"/>
      <c r="LM36" s="2525"/>
      <c r="LN36" s="2525"/>
      <c r="LO36" s="2525"/>
      <c r="LP36" s="2525"/>
      <c r="LQ36" s="2525"/>
      <c r="LR36" s="2525"/>
    </row>
    <row r="37" spans="1:330" ht="21" customHeight="1">
      <c r="A37" s="3382"/>
      <c r="B37" s="3045"/>
      <c r="C37" s="3381" t="s">
        <v>27</v>
      </c>
      <c r="D37" s="3383">
        <v>265</v>
      </c>
      <c r="E37" s="3384">
        <v>307</v>
      </c>
      <c r="F37" s="3384">
        <v>216</v>
      </c>
      <c r="G37" s="3384">
        <v>119</v>
      </c>
      <c r="H37" s="3384">
        <v>65</v>
      </c>
      <c r="I37" s="3384">
        <v>98</v>
      </c>
      <c r="J37" s="3384">
        <v>294</v>
      </c>
      <c r="K37" s="3384">
        <v>80</v>
      </c>
      <c r="L37" s="3384">
        <v>155</v>
      </c>
      <c r="M37" s="3384">
        <v>283</v>
      </c>
      <c r="N37" s="3384">
        <v>162</v>
      </c>
      <c r="O37" s="3385">
        <v>88</v>
      </c>
      <c r="P37" s="3333">
        <v>219</v>
      </c>
      <c r="Q37" s="3334">
        <v>477</v>
      </c>
      <c r="R37" s="3334">
        <v>222</v>
      </c>
      <c r="S37" s="3334">
        <v>110</v>
      </c>
      <c r="T37" s="3334">
        <v>92</v>
      </c>
      <c r="U37" s="3334">
        <v>159</v>
      </c>
      <c r="V37" s="3334">
        <v>307</v>
      </c>
      <c r="W37" s="3334">
        <v>107</v>
      </c>
      <c r="X37" s="3334">
        <v>148</v>
      </c>
      <c r="Y37" s="3334">
        <v>279</v>
      </c>
      <c r="Z37" s="3334">
        <v>201</v>
      </c>
      <c r="AA37" s="3335">
        <v>148</v>
      </c>
      <c r="AB37" s="3336">
        <v>203</v>
      </c>
      <c r="AC37" s="3337">
        <v>261</v>
      </c>
      <c r="AD37" s="3337">
        <v>206</v>
      </c>
      <c r="AE37" s="3337">
        <v>168</v>
      </c>
      <c r="AF37" s="3337">
        <v>175.5</v>
      </c>
      <c r="AG37" s="3337">
        <v>183</v>
      </c>
      <c r="AH37" s="3337">
        <v>252</v>
      </c>
      <c r="AI37" s="3337">
        <v>99</v>
      </c>
      <c r="AJ37" s="3337">
        <v>98</v>
      </c>
      <c r="AK37" s="3337">
        <v>238</v>
      </c>
      <c r="AL37" s="3337">
        <v>202</v>
      </c>
      <c r="AM37" s="3338">
        <v>115</v>
      </c>
      <c r="AN37" s="3339">
        <v>178</v>
      </c>
      <c r="AO37" s="3340">
        <v>251</v>
      </c>
      <c r="AP37" s="3340">
        <v>200</v>
      </c>
      <c r="AQ37" s="3340">
        <v>92</v>
      </c>
      <c r="AR37" s="3340">
        <v>87</v>
      </c>
      <c r="AS37" s="3340">
        <v>128</v>
      </c>
      <c r="AT37" s="3340">
        <v>283</v>
      </c>
      <c r="AU37" s="3340">
        <v>77</v>
      </c>
      <c r="AV37" s="3340">
        <v>113</v>
      </c>
      <c r="AW37" s="3340">
        <v>172</v>
      </c>
      <c r="AX37" s="3340">
        <v>246</v>
      </c>
      <c r="AY37" s="3341">
        <v>112</v>
      </c>
      <c r="AZ37" s="3277">
        <v>213</v>
      </c>
      <c r="BA37" s="3277">
        <v>406</v>
      </c>
      <c r="BB37" s="3277">
        <v>152</v>
      </c>
      <c r="BC37" s="3277">
        <v>116</v>
      </c>
      <c r="BD37" s="3277">
        <v>60</v>
      </c>
      <c r="BE37" s="3277">
        <v>122</v>
      </c>
      <c r="BF37" s="3277">
        <v>217</v>
      </c>
      <c r="BG37" s="3277">
        <v>88</v>
      </c>
      <c r="BH37" s="3277">
        <v>138</v>
      </c>
      <c r="BI37" s="3277">
        <v>226</v>
      </c>
      <c r="BJ37" s="3277">
        <v>103</v>
      </c>
      <c r="BK37" s="3374">
        <v>150</v>
      </c>
      <c r="BL37" s="3344">
        <v>250</v>
      </c>
      <c r="BM37" s="3345">
        <v>287</v>
      </c>
      <c r="BN37" s="3345">
        <v>177</v>
      </c>
      <c r="BO37" s="3345">
        <v>87</v>
      </c>
      <c r="BP37" s="3345">
        <v>81</v>
      </c>
      <c r="BQ37" s="3345">
        <v>96</v>
      </c>
      <c r="BR37" s="3345">
        <v>200</v>
      </c>
      <c r="BS37" s="3345">
        <v>61</v>
      </c>
      <c r="BT37" s="3346">
        <v>166</v>
      </c>
      <c r="BU37" s="3346">
        <v>157</v>
      </c>
      <c r="BV37" s="3346">
        <v>166</v>
      </c>
      <c r="BW37" s="3347">
        <v>70</v>
      </c>
      <c r="BX37" s="3348">
        <v>234</v>
      </c>
      <c r="BY37" s="3273">
        <v>196</v>
      </c>
      <c r="BZ37" s="3273">
        <v>222</v>
      </c>
      <c r="CA37" s="3273">
        <v>104</v>
      </c>
      <c r="CB37" s="3273">
        <v>71</v>
      </c>
      <c r="CC37" s="3273">
        <v>101</v>
      </c>
      <c r="CD37" s="3273">
        <v>269</v>
      </c>
      <c r="CE37" s="3273">
        <v>67</v>
      </c>
      <c r="CF37" s="3273">
        <v>95</v>
      </c>
      <c r="CG37" s="3273">
        <v>146</v>
      </c>
      <c r="CH37" s="3273">
        <v>239</v>
      </c>
      <c r="CI37" s="3275">
        <v>112</v>
      </c>
      <c r="CJ37" s="3349">
        <v>252</v>
      </c>
      <c r="CK37" s="3350">
        <v>231</v>
      </c>
      <c r="CL37" s="3350">
        <v>180</v>
      </c>
      <c r="CM37" s="3350">
        <v>128</v>
      </c>
      <c r="CN37" s="3350">
        <v>77</v>
      </c>
      <c r="CO37" s="3350">
        <v>117</v>
      </c>
      <c r="CP37" s="3350">
        <v>176</v>
      </c>
      <c r="CQ37" s="3350">
        <v>98</v>
      </c>
      <c r="CR37" s="3350">
        <v>126</v>
      </c>
      <c r="CS37" s="3350">
        <v>196</v>
      </c>
      <c r="CT37" s="3350">
        <v>187</v>
      </c>
      <c r="CU37" s="3351">
        <v>137</v>
      </c>
      <c r="CV37" s="3349">
        <v>133</v>
      </c>
      <c r="CW37" s="3350">
        <v>234</v>
      </c>
      <c r="CX37" s="3272">
        <v>242</v>
      </c>
      <c r="CY37" s="3272">
        <v>102</v>
      </c>
      <c r="CZ37" s="3272">
        <v>65</v>
      </c>
      <c r="DA37" s="3272">
        <v>124</v>
      </c>
      <c r="DB37" s="3272">
        <v>224</v>
      </c>
      <c r="DC37" s="3272">
        <v>70</v>
      </c>
      <c r="DD37" s="3272">
        <v>93</v>
      </c>
      <c r="DE37" s="3272">
        <v>185</v>
      </c>
      <c r="DF37" s="3272">
        <v>146</v>
      </c>
      <c r="DG37" s="3351">
        <v>117</v>
      </c>
      <c r="DH37" s="3352">
        <v>180</v>
      </c>
      <c r="DI37" s="3353">
        <v>228</v>
      </c>
      <c r="DJ37" s="3353">
        <v>313</v>
      </c>
      <c r="DK37" s="3354">
        <v>108</v>
      </c>
      <c r="DL37" s="3354">
        <v>75</v>
      </c>
      <c r="DM37" s="3354">
        <v>154</v>
      </c>
      <c r="DN37" s="3354">
        <v>248</v>
      </c>
      <c r="DO37" s="3354">
        <v>76</v>
      </c>
      <c r="DP37" s="2556">
        <v>99</v>
      </c>
      <c r="DQ37" s="3354">
        <v>209</v>
      </c>
      <c r="DR37" s="3354">
        <v>114</v>
      </c>
      <c r="DS37" s="3355">
        <v>97</v>
      </c>
      <c r="DT37" s="3356">
        <v>165</v>
      </c>
      <c r="DU37" s="3243">
        <v>265</v>
      </c>
      <c r="DV37" s="3243">
        <v>226</v>
      </c>
      <c r="DW37" s="3164">
        <v>167</v>
      </c>
      <c r="DX37" s="3164">
        <v>67</v>
      </c>
      <c r="DY37" s="3164">
        <v>147</v>
      </c>
      <c r="DZ37" s="3164">
        <v>267</v>
      </c>
      <c r="EA37" s="3164">
        <v>116</v>
      </c>
      <c r="EB37" s="3164">
        <v>166</v>
      </c>
      <c r="EC37" s="3164">
        <v>230</v>
      </c>
      <c r="ED37" s="3164">
        <v>154</v>
      </c>
      <c r="EE37" s="3163">
        <v>150</v>
      </c>
      <c r="EF37" s="2532">
        <v>202</v>
      </c>
      <c r="EG37" s="2531">
        <v>365</v>
      </c>
      <c r="EH37" s="2531">
        <v>309</v>
      </c>
      <c r="EI37" s="2531">
        <v>194</v>
      </c>
      <c r="EJ37" s="2531">
        <v>79</v>
      </c>
      <c r="EK37" s="2531">
        <v>144</v>
      </c>
      <c r="EL37" s="2531">
        <v>268</v>
      </c>
      <c r="EM37" s="2557">
        <v>88</v>
      </c>
      <c r="EN37" s="2557">
        <v>172</v>
      </c>
      <c r="EO37" s="2558">
        <v>309</v>
      </c>
      <c r="EP37" s="2558">
        <v>189</v>
      </c>
      <c r="EQ37" s="2559">
        <v>154</v>
      </c>
      <c r="ER37" s="1323">
        <v>229</v>
      </c>
      <c r="ES37" s="3357">
        <v>408</v>
      </c>
      <c r="ET37" s="3357">
        <v>247</v>
      </c>
      <c r="EU37" s="2560">
        <v>255</v>
      </c>
      <c r="EV37" s="2107">
        <v>103</v>
      </c>
      <c r="EW37" s="2107">
        <v>140</v>
      </c>
      <c r="EX37" s="2107">
        <v>343</v>
      </c>
      <c r="EY37" s="2107">
        <v>141</v>
      </c>
      <c r="EZ37" s="2107">
        <v>242</v>
      </c>
      <c r="FA37" s="2275">
        <v>175</v>
      </c>
      <c r="FB37" s="2275">
        <v>177</v>
      </c>
      <c r="FC37" s="2275">
        <v>150</v>
      </c>
      <c r="FD37" s="2608">
        <v>283</v>
      </c>
      <c r="FE37" s="2609">
        <v>504</v>
      </c>
      <c r="FF37" s="2609">
        <v>137</v>
      </c>
      <c r="FG37" s="2609">
        <v>2</v>
      </c>
      <c r="FH37" s="2609">
        <v>2</v>
      </c>
      <c r="FI37" s="2609">
        <v>4</v>
      </c>
      <c r="FJ37" s="2609">
        <v>7</v>
      </c>
      <c r="FK37" s="2609">
        <v>2</v>
      </c>
      <c r="FL37" s="2609">
        <v>11</v>
      </c>
      <c r="FM37" s="2609">
        <v>16</v>
      </c>
      <c r="FN37" s="2609">
        <v>7</v>
      </c>
      <c r="FO37" s="2610">
        <v>15</v>
      </c>
      <c r="FP37" s="3805">
        <v>10</v>
      </c>
      <c r="FQ37" s="3806">
        <v>7</v>
      </c>
      <c r="FR37" s="3806">
        <v>9</v>
      </c>
      <c r="FS37" s="3806">
        <v>4</v>
      </c>
      <c r="FT37" s="3806">
        <v>13</v>
      </c>
      <c r="FU37" s="3806">
        <v>11</v>
      </c>
      <c r="FV37" s="3806">
        <v>31</v>
      </c>
      <c r="FW37" s="3806">
        <v>25</v>
      </c>
      <c r="FX37" s="3806">
        <v>44</v>
      </c>
      <c r="FY37" s="3806">
        <v>192</v>
      </c>
      <c r="FZ37" s="3806">
        <v>152</v>
      </c>
      <c r="GA37" s="3966">
        <v>107</v>
      </c>
      <c r="GB37" s="4659">
        <v>255</v>
      </c>
      <c r="GC37" s="4660">
        <v>372</v>
      </c>
      <c r="GD37" s="4660">
        <v>362</v>
      </c>
      <c r="GE37" s="4660">
        <v>340</v>
      </c>
      <c r="GF37" s="4660">
        <v>153</v>
      </c>
      <c r="GG37" s="4660"/>
      <c r="GH37" s="4660"/>
      <c r="GI37" s="4660"/>
      <c r="GJ37" s="4660"/>
      <c r="GK37" s="4660"/>
      <c r="GL37" s="4660"/>
      <c r="GM37" s="4661"/>
      <c r="GN37" s="2607"/>
      <c r="GO37" s="2754">
        <v>788</v>
      </c>
      <c r="GP37" s="2755">
        <v>282</v>
      </c>
      <c r="GQ37" s="2755">
        <v>529</v>
      </c>
      <c r="GR37" s="2756">
        <v>533</v>
      </c>
      <c r="GS37" s="2757">
        <v>918</v>
      </c>
      <c r="GT37" s="2758">
        <v>361</v>
      </c>
      <c r="GU37" s="2758">
        <v>562</v>
      </c>
      <c r="GV37" s="2759">
        <v>628</v>
      </c>
      <c r="GW37" s="2760">
        <v>670</v>
      </c>
      <c r="GX37" s="2761">
        <v>526.5</v>
      </c>
      <c r="GY37" s="2762">
        <v>449</v>
      </c>
      <c r="GZ37" s="2762">
        <v>555</v>
      </c>
      <c r="HA37" s="2763">
        <v>629</v>
      </c>
      <c r="HB37" s="2764">
        <v>307</v>
      </c>
      <c r="HC37" s="2764">
        <v>473</v>
      </c>
      <c r="HD37" s="2765">
        <v>530</v>
      </c>
      <c r="HE37" s="2766">
        <v>771</v>
      </c>
      <c r="HF37" s="2767">
        <v>298</v>
      </c>
      <c r="HG37" s="2767">
        <v>443</v>
      </c>
      <c r="HH37" s="2768">
        <v>479</v>
      </c>
      <c r="HI37" s="2764">
        <v>714</v>
      </c>
      <c r="HJ37" s="2764">
        <v>264</v>
      </c>
      <c r="HK37" s="2764">
        <v>427</v>
      </c>
      <c r="HL37" s="2764">
        <v>393</v>
      </c>
      <c r="HM37" s="2769">
        <v>652</v>
      </c>
      <c r="HN37" s="2769">
        <v>276</v>
      </c>
      <c r="HO37" s="2769">
        <v>431</v>
      </c>
      <c r="HP37" s="2769">
        <v>497</v>
      </c>
      <c r="HQ37" s="2770">
        <v>663</v>
      </c>
      <c r="HR37" s="2770">
        <v>322</v>
      </c>
      <c r="HS37" s="2770">
        <f>+CP37+CQ37+CR37</f>
        <v>400</v>
      </c>
      <c r="HT37" s="2770">
        <v>520</v>
      </c>
      <c r="HU37" s="2771">
        <v>609</v>
      </c>
      <c r="HV37" s="2771">
        <f>+CY37+CZ37+DA37</f>
        <v>291</v>
      </c>
      <c r="HW37" s="2771">
        <f>+DB37+DC37+DD37</f>
        <v>387</v>
      </c>
      <c r="HX37" s="2770">
        <f>+DE37+DF37+DG37</f>
        <v>448</v>
      </c>
      <c r="HY37" s="2689">
        <f>+DH37+DI37+DJ37</f>
        <v>721</v>
      </c>
      <c r="HZ37" s="2689">
        <f>+DM37+DL37+DK37</f>
        <v>337</v>
      </c>
      <c r="IA37" s="2689">
        <f>+DS37+DO37+DN37</f>
        <v>421</v>
      </c>
      <c r="IB37" s="2689">
        <f>+DQ37+DR37+DS37</f>
        <v>420</v>
      </c>
      <c r="IC37" s="2764">
        <f>+DT37+DU37+DV37</f>
        <v>656</v>
      </c>
      <c r="ID37" s="2764">
        <f>+DW37+DX37+DY37</f>
        <v>381</v>
      </c>
      <c r="IE37" s="2764">
        <f>+DZ37+EA37+EB37</f>
        <v>549</v>
      </c>
      <c r="IF37" s="2764">
        <f>+EC37+ED37+EE37</f>
        <v>534</v>
      </c>
      <c r="IG37" s="2772">
        <f>EF37+EG37+EH37</f>
        <v>876</v>
      </c>
      <c r="IH37" s="2769">
        <f>EI37+EJ37+EK37</f>
        <v>417</v>
      </c>
      <c r="II37" s="2769">
        <f>EL37+EM37+EN37</f>
        <v>528</v>
      </c>
      <c r="IJ37" s="2769">
        <f>EO37+EP37+EQ37</f>
        <v>652</v>
      </c>
      <c r="IK37" s="2773">
        <f>ER37+ES37+ET37</f>
        <v>884</v>
      </c>
      <c r="IL37" s="2774">
        <f>EU37+EV37+EW37</f>
        <v>498</v>
      </c>
      <c r="IM37" s="2774">
        <f>EX37+EY37+EZ37</f>
        <v>726</v>
      </c>
      <c r="IN37" s="2774">
        <f>FA37+FB37+FC37</f>
        <v>502</v>
      </c>
      <c r="IO37" s="2775">
        <f>FD37+FE37+FF37</f>
        <v>924</v>
      </c>
      <c r="IP37" s="2776">
        <f>FG37+FH37+FI37</f>
        <v>8</v>
      </c>
      <c r="IQ37" s="2776">
        <f>FJ37+FK37+FL37</f>
        <v>20</v>
      </c>
      <c r="IR37" s="2777">
        <f>FM37+FN37+FO37</f>
        <v>38</v>
      </c>
      <c r="IS37" s="2772">
        <f>FP37+FQ37+FR37</f>
        <v>26</v>
      </c>
      <c r="IT37" s="2769">
        <f>FS37+FT37+FU37</f>
        <v>28</v>
      </c>
      <c r="IU37" s="2769">
        <f>FV37+FW37+FX37</f>
        <v>100</v>
      </c>
      <c r="IV37" s="2769">
        <f>FY37+FZ37+GA37</f>
        <v>451</v>
      </c>
      <c r="IW37" s="3961">
        <f t="shared" si="46"/>
        <v>989</v>
      </c>
      <c r="IX37" s="3953">
        <f t="shared" si="47"/>
        <v>493</v>
      </c>
      <c r="IY37" s="3953">
        <f t="shared" si="48"/>
        <v>0</v>
      </c>
      <c r="IZ37" s="3962">
        <f t="shared" si="49"/>
        <v>0</v>
      </c>
      <c r="JA37" s="3957"/>
      <c r="JB37" s="3358">
        <v>2132</v>
      </c>
      <c r="JC37" s="3359">
        <v>2469</v>
      </c>
      <c r="JD37" s="3359">
        <v>2200.5</v>
      </c>
      <c r="JE37" s="3359">
        <v>1939</v>
      </c>
      <c r="JF37" s="3359">
        <v>1991</v>
      </c>
      <c r="JG37" s="3359">
        <v>1798</v>
      </c>
      <c r="JH37" s="3360">
        <v>1856</v>
      </c>
      <c r="JI37" s="3361">
        <v>1905</v>
      </c>
      <c r="JJ37" s="3361">
        <f>SUM(CV37:DG37)</f>
        <v>1735</v>
      </c>
      <c r="JK37" s="3361">
        <f>SUM(DH37:DS37)</f>
        <v>1901</v>
      </c>
      <c r="JL37" s="3361">
        <f>SUM(DT37:EE37)</f>
        <v>2120</v>
      </c>
      <c r="JM37" s="3361">
        <f>SUM(EF37:EQ37)</f>
        <v>2473</v>
      </c>
      <c r="JN37" s="3362">
        <f>SUM(ER37:FC37)</f>
        <v>2610</v>
      </c>
      <c r="JO37" s="3380">
        <f>SUM(FD37:FO37)</f>
        <v>990</v>
      </c>
      <c r="JP37" s="3378">
        <f t="shared" si="50"/>
        <v>605</v>
      </c>
      <c r="JQ37" s="3377">
        <f t="shared" si="51"/>
        <v>2044</v>
      </c>
      <c r="JS37" s="4673">
        <f t="shared" si="52"/>
        <v>17</v>
      </c>
      <c r="JT37" s="3579">
        <f t="shared" si="53"/>
        <v>1482</v>
      </c>
      <c r="JU37" s="2525"/>
      <c r="JV37" s="3365">
        <f t="shared" si="54"/>
        <v>1213</v>
      </c>
      <c r="JW37" s="3366">
        <f>JK37/$JK$39</f>
        <v>3.0288738834911236E-3</v>
      </c>
      <c r="JX37" s="3366">
        <f>JL37/$JL$39</f>
        <v>3.246897451644967E-3</v>
      </c>
      <c r="JY37" s="3366">
        <f t="shared" si="61"/>
        <v>3.5997088791848617E-3</v>
      </c>
      <c r="JZ37" s="3366">
        <f t="shared" si="61"/>
        <v>3.799126637554585E-3</v>
      </c>
      <c r="KA37" s="3366">
        <f>JO37/$JO$39</f>
        <v>5.18664047151277E-3</v>
      </c>
      <c r="KB37" s="4688">
        <f t="shared" si="38"/>
        <v>2.1530555595097437E-3</v>
      </c>
      <c r="KC37" s="4691">
        <f t="shared" si="56"/>
        <v>4.2726556310632938E-3</v>
      </c>
      <c r="KD37" s="3366"/>
      <c r="KE37" s="3368">
        <f>JL37/JK37-1</f>
        <v>0.11520252498684913</v>
      </c>
      <c r="KF37" s="3369">
        <f>JV37/JK37-1</f>
        <v>-0.36191478169384539</v>
      </c>
      <c r="KG37" s="3369">
        <f t="shared" si="62"/>
        <v>0.16650943396226414</v>
      </c>
      <c r="KH37" s="3369">
        <f t="shared" si="62"/>
        <v>5.539830165790538E-2</v>
      </c>
      <c r="KI37" s="3369">
        <f t="shared" si="62"/>
        <v>-0.62068965517241381</v>
      </c>
      <c r="KJ37" s="3368">
        <f>JP37/JN37-1</f>
        <v>-0.76819923371647514</v>
      </c>
      <c r="KK37" s="3369">
        <f t="shared" si="57"/>
        <v>-0.38888888888888884</v>
      </c>
      <c r="KL37" s="4678">
        <f t="shared" si="59"/>
        <v>-0.21685823754789268</v>
      </c>
      <c r="KM37" s="4678">
        <f t="shared" si="58"/>
        <v>2.378512396694215</v>
      </c>
      <c r="KN37" s="3045"/>
      <c r="KO37" s="3045"/>
      <c r="KP37" s="3045"/>
      <c r="KQ37" s="3045"/>
      <c r="KR37" s="3045"/>
      <c r="KS37" s="3045"/>
      <c r="KT37" s="3045"/>
      <c r="KU37" s="3045"/>
      <c r="KV37" s="3045"/>
      <c r="KW37" s="3045"/>
      <c r="KX37" s="3045"/>
      <c r="KY37" s="3045"/>
      <c r="KZ37" s="3045"/>
      <c r="LA37" s="3045"/>
      <c r="LB37" s="3045"/>
      <c r="LC37" s="3045"/>
      <c r="LD37" s="3045"/>
      <c r="LE37" s="3045"/>
      <c r="LF37" s="3045"/>
      <c r="LG37" s="3045"/>
      <c r="LH37" s="3045"/>
      <c r="LI37" s="3045"/>
      <c r="LJ37" s="3045"/>
      <c r="LK37" s="2525"/>
      <c r="LL37" s="2525"/>
      <c r="LM37" s="2525"/>
      <c r="LN37" s="2525"/>
      <c r="LO37" s="2525"/>
      <c r="LP37" s="2525"/>
      <c r="LQ37" s="2525"/>
      <c r="LR37" s="2525"/>
    </row>
    <row r="38" spans="1:330" ht="21" customHeight="1" thickBot="1">
      <c r="A38" s="3382"/>
      <c r="B38" s="3045"/>
      <c r="C38" s="3386" t="s">
        <v>51</v>
      </c>
      <c r="D38" s="3387">
        <v>1352</v>
      </c>
      <c r="E38" s="3388">
        <v>1073</v>
      </c>
      <c r="F38" s="3388">
        <v>1228</v>
      </c>
      <c r="G38" s="3388">
        <v>1130</v>
      </c>
      <c r="H38" s="3388">
        <v>1032</v>
      </c>
      <c r="I38" s="3388">
        <v>1214</v>
      </c>
      <c r="J38" s="3388">
        <v>1621</v>
      </c>
      <c r="K38" s="3388">
        <v>1503</v>
      </c>
      <c r="L38" s="3388">
        <v>1581</v>
      </c>
      <c r="M38" s="3388">
        <v>1686</v>
      </c>
      <c r="N38" s="3388">
        <v>1465</v>
      </c>
      <c r="O38" s="3389">
        <v>1267</v>
      </c>
      <c r="P38" s="3390">
        <v>1457</v>
      </c>
      <c r="Q38" s="3391">
        <v>1912</v>
      </c>
      <c r="R38" s="3391">
        <v>1681</v>
      </c>
      <c r="S38" s="3391">
        <v>1419</v>
      </c>
      <c r="T38" s="3391">
        <v>1507</v>
      </c>
      <c r="U38" s="3391">
        <v>1667</v>
      </c>
      <c r="V38" s="3391">
        <v>1856</v>
      </c>
      <c r="W38" s="3391">
        <v>2105</v>
      </c>
      <c r="X38" s="3391">
        <v>1931</v>
      </c>
      <c r="Y38" s="3391">
        <v>2079</v>
      </c>
      <c r="Z38" s="3391">
        <v>2062</v>
      </c>
      <c r="AA38" s="3392">
        <v>1753</v>
      </c>
      <c r="AB38" s="3393">
        <v>1691</v>
      </c>
      <c r="AC38" s="3394">
        <v>1564</v>
      </c>
      <c r="AD38" s="3394">
        <v>1837</v>
      </c>
      <c r="AE38" s="3394">
        <v>1902</v>
      </c>
      <c r="AF38" s="3394">
        <v>1950.5</v>
      </c>
      <c r="AG38" s="3394">
        <v>1999</v>
      </c>
      <c r="AH38" s="3394">
        <v>2276</v>
      </c>
      <c r="AI38" s="3394">
        <v>2179</v>
      </c>
      <c r="AJ38" s="3394">
        <v>1873</v>
      </c>
      <c r="AK38" s="3394">
        <v>2115</v>
      </c>
      <c r="AL38" s="3394">
        <v>1922</v>
      </c>
      <c r="AM38" s="3395">
        <v>1842</v>
      </c>
      <c r="AN38" s="3396">
        <v>2005</v>
      </c>
      <c r="AO38" s="3397">
        <v>2148</v>
      </c>
      <c r="AP38" s="3397">
        <v>2032</v>
      </c>
      <c r="AQ38" s="3397">
        <v>1797</v>
      </c>
      <c r="AR38" s="3397">
        <v>1836</v>
      </c>
      <c r="AS38" s="3397">
        <v>2056</v>
      </c>
      <c r="AT38" s="3397">
        <v>2157</v>
      </c>
      <c r="AU38" s="3397">
        <v>2080</v>
      </c>
      <c r="AV38" s="3397">
        <v>1869</v>
      </c>
      <c r="AW38" s="3397">
        <v>3234</v>
      </c>
      <c r="AX38" s="3397">
        <v>2064</v>
      </c>
      <c r="AY38" s="3398">
        <v>1947</v>
      </c>
      <c r="AZ38" s="3277">
        <v>2161</v>
      </c>
      <c r="BA38" s="3277">
        <v>1925</v>
      </c>
      <c r="BB38" s="3277">
        <v>2397</v>
      </c>
      <c r="BC38" s="3277">
        <v>2132</v>
      </c>
      <c r="BD38" s="3277">
        <v>1881</v>
      </c>
      <c r="BE38" s="3277">
        <v>1933</v>
      </c>
      <c r="BF38" s="3277">
        <v>1785</v>
      </c>
      <c r="BG38" s="3277">
        <v>1871</v>
      </c>
      <c r="BH38" s="3277">
        <v>1793</v>
      </c>
      <c r="BI38" s="3277">
        <v>1900</v>
      </c>
      <c r="BJ38" s="3277">
        <v>2198</v>
      </c>
      <c r="BK38" s="3374">
        <v>1731</v>
      </c>
      <c r="BL38" s="3399">
        <v>2292</v>
      </c>
      <c r="BM38" s="3400">
        <v>1667</v>
      </c>
      <c r="BN38" s="3400">
        <v>1785</v>
      </c>
      <c r="BO38" s="3400">
        <v>1717</v>
      </c>
      <c r="BP38" s="3400">
        <v>2030</v>
      </c>
      <c r="BQ38" s="3400">
        <v>2417</v>
      </c>
      <c r="BR38" s="3400">
        <v>2406</v>
      </c>
      <c r="BS38" s="3400">
        <v>2181</v>
      </c>
      <c r="BT38" s="3401">
        <v>2263</v>
      </c>
      <c r="BU38" s="3401">
        <v>2409</v>
      </c>
      <c r="BV38" s="3401">
        <v>2762</v>
      </c>
      <c r="BW38" s="3402">
        <v>2408</v>
      </c>
      <c r="BX38" s="3403">
        <v>2705</v>
      </c>
      <c r="BY38" s="3404">
        <v>2224</v>
      </c>
      <c r="BZ38" s="3404">
        <v>3674</v>
      </c>
      <c r="CA38" s="3404">
        <v>2902</v>
      </c>
      <c r="CB38" s="3404">
        <v>2693</v>
      </c>
      <c r="CC38" s="3404">
        <v>3260</v>
      </c>
      <c r="CD38" s="3404">
        <v>2875</v>
      </c>
      <c r="CE38" s="3404">
        <v>2875</v>
      </c>
      <c r="CF38" s="3404">
        <v>2838</v>
      </c>
      <c r="CG38" s="3404">
        <v>3163</v>
      </c>
      <c r="CH38" s="3404">
        <v>3258</v>
      </c>
      <c r="CI38" s="3405">
        <v>3987</v>
      </c>
      <c r="CJ38" s="3406">
        <v>1464</v>
      </c>
      <c r="CK38" s="3407">
        <v>2663</v>
      </c>
      <c r="CL38" s="3407">
        <v>2765</v>
      </c>
      <c r="CM38" s="3407">
        <v>2718</v>
      </c>
      <c r="CN38" s="3407">
        <v>2898</v>
      </c>
      <c r="CO38" s="3407">
        <v>1850</v>
      </c>
      <c r="CP38" s="3407">
        <v>3517</v>
      </c>
      <c r="CQ38" s="3407">
        <v>3243</v>
      </c>
      <c r="CR38" s="3407">
        <v>4230</v>
      </c>
      <c r="CS38" s="3407">
        <v>4080</v>
      </c>
      <c r="CT38" s="3407">
        <v>4657</v>
      </c>
      <c r="CU38" s="3408">
        <v>4249</v>
      </c>
      <c r="CV38" s="3406">
        <v>4365</v>
      </c>
      <c r="CW38" s="3407">
        <v>4265</v>
      </c>
      <c r="CX38" s="3409">
        <v>4529</v>
      </c>
      <c r="CY38" s="3409">
        <v>4893</v>
      </c>
      <c r="CZ38" s="3409">
        <v>4695</v>
      </c>
      <c r="DA38" s="3409">
        <v>4155</v>
      </c>
      <c r="DB38" s="3409">
        <v>4388</v>
      </c>
      <c r="DC38" s="3409">
        <v>2823</v>
      </c>
      <c r="DD38" s="3409">
        <v>3036</v>
      </c>
      <c r="DE38" s="3409">
        <v>2822</v>
      </c>
      <c r="DF38" s="3409">
        <v>3131</v>
      </c>
      <c r="DG38" s="3408">
        <v>2609</v>
      </c>
      <c r="DH38" s="3410">
        <v>2637</v>
      </c>
      <c r="DI38" s="3411">
        <v>2682</v>
      </c>
      <c r="DJ38" s="3411">
        <v>2560</v>
      </c>
      <c r="DK38" s="3412">
        <v>2027</v>
      </c>
      <c r="DL38" s="3412">
        <v>2406</v>
      </c>
      <c r="DM38" s="3412">
        <v>2378</v>
      </c>
      <c r="DN38" s="3412">
        <v>2754</v>
      </c>
      <c r="DO38" s="3412">
        <v>2485</v>
      </c>
      <c r="DP38" s="3413">
        <v>2655</v>
      </c>
      <c r="DQ38" s="3412">
        <v>5694</v>
      </c>
      <c r="DR38" s="3412">
        <v>3499</v>
      </c>
      <c r="DS38" s="3414">
        <v>3813</v>
      </c>
      <c r="DT38" s="3415">
        <v>3249</v>
      </c>
      <c r="DU38" s="3416">
        <v>2963</v>
      </c>
      <c r="DV38" s="3416">
        <v>3245</v>
      </c>
      <c r="DW38" s="3417">
        <v>3320</v>
      </c>
      <c r="DX38" s="3417">
        <v>3212</v>
      </c>
      <c r="DY38" s="3417">
        <v>3871</v>
      </c>
      <c r="DZ38" s="3417">
        <v>4324</v>
      </c>
      <c r="EA38" s="3417">
        <v>3626</v>
      </c>
      <c r="EB38" s="3417">
        <v>3420</v>
      </c>
      <c r="EC38" s="3417">
        <v>3792</v>
      </c>
      <c r="ED38" s="3417">
        <v>4114</v>
      </c>
      <c r="EE38" s="3418">
        <v>4059</v>
      </c>
      <c r="EF38" s="2561">
        <f>53007-SUM(EF6:EF36)</f>
        <v>3772</v>
      </c>
      <c r="EG38" s="2562">
        <f>52567-SUM(EG6:EG36)</f>
        <v>3859</v>
      </c>
      <c r="EH38" s="2562">
        <f>58154-SUM(EH6:EH36)</f>
        <v>4148</v>
      </c>
      <c r="EI38" s="2562">
        <f>47644-SUM(EI6:EI36)</f>
        <v>4045</v>
      </c>
      <c r="EJ38" s="2562">
        <f>53921-SUM(EJ6:EJ36)</f>
        <v>3961</v>
      </c>
      <c r="EK38" s="2562">
        <f>70620-SUM(EK6:EK36)</f>
        <v>4383</v>
      </c>
      <c r="EL38" s="2562">
        <f>72893-SUM(EL6:EL36)</f>
        <v>4569</v>
      </c>
      <c r="EM38" s="2562">
        <v>3635</v>
      </c>
      <c r="EN38" s="2562">
        <v>3911</v>
      </c>
      <c r="EO38" s="2562">
        <v>4054</v>
      </c>
      <c r="EP38" s="2562">
        <f>54720-49952</f>
        <v>4768</v>
      </c>
      <c r="EQ38" s="2563">
        <f>71516-67031</f>
        <v>4485</v>
      </c>
      <c r="ER38" s="1325">
        <f>52976-49111+2</f>
        <v>3867</v>
      </c>
      <c r="ES38" s="1326">
        <v>3871</v>
      </c>
      <c r="ET38" s="1326">
        <f>54669-SUM(ET6:ET36)+1</f>
        <v>4652</v>
      </c>
      <c r="EU38" s="1326">
        <f>4834-5</f>
        <v>4829</v>
      </c>
      <c r="EV38" s="2109">
        <v>3586</v>
      </c>
      <c r="EW38" s="2109">
        <v>6971</v>
      </c>
      <c r="EX38" s="2109">
        <v>6736</v>
      </c>
      <c r="EY38" s="2109">
        <v>1079</v>
      </c>
      <c r="EZ38" s="2109">
        <v>3112</v>
      </c>
      <c r="FA38" s="1326">
        <f>'Llegadas '!N13-SUM('Llegadas x nacionalidad'!FA6:FA36)</f>
        <v>2768</v>
      </c>
      <c r="FB38" s="1326">
        <f>'Llegadas '!N14-SUM('Llegadas x nacionalidad'!FB6:FB36)</f>
        <v>3276</v>
      </c>
      <c r="FC38" s="1326">
        <f>'Llegadas '!N15-SUM('Llegadas x nacionalidad'!FC6:FC36)</f>
        <v>3098</v>
      </c>
      <c r="FD38" s="2522">
        <f>'Llegadas '!O4-SUM('Llegadas x nacionalidad'!FD6:FD36)</f>
        <v>3558</v>
      </c>
      <c r="FE38" s="2277">
        <f>'Llegadas '!O5-SUM('Llegadas x nacionalidad'!FE6:FE36)</f>
        <v>3265</v>
      </c>
      <c r="FF38" s="2277">
        <f>'Llegadas '!O6-SUM('Llegadas x nacionalidad'!FF6:FF36)</f>
        <v>1216</v>
      </c>
      <c r="FG38" s="2277">
        <f>'Llegadas '!O7-SUM('Llegadas x nacionalidad'!FG6:FG36)</f>
        <v>24</v>
      </c>
      <c r="FH38" s="2277">
        <f>'Llegadas '!O8-SUM('Llegadas x nacionalidad'!FH6:FH36)</f>
        <v>42</v>
      </c>
      <c r="FI38" s="2277">
        <f>'Llegadas '!O9-SUM('Llegadas x nacionalidad'!FI6:FI36)</f>
        <v>80</v>
      </c>
      <c r="FJ38" s="2277">
        <f>'Llegadas '!O10-SUM('Llegadas x nacionalidad'!FJ6:FJ36)</f>
        <v>151</v>
      </c>
      <c r="FK38" s="2277">
        <f>'Llegadas '!O11-SUM('Llegadas x nacionalidad'!FK6:FK36)</f>
        <v>179</v>
      </c>
      <c r="FL38" s="2277">
        <f>'Llegadas '!O12-SUM('Llegadas x nacionalidad'!FL6:FL36)</f>
        <v>245</v>
      </c>
      <c r="FM38" s="2277">
        <f>'Llegadas '!O13-SUM('Llegadas x nacionalidad'!FM6:FM36)</f>
        <v>411</v>
      </c>
      <c r="FN38" s="2277">
        <f>'Llegadas '!O14-SUM('Llegadas x nacionalidad'!FN6:FN36)</f>
        <v>506</v>
      </c>
      <c r="FO38" s="2277">
        <f>'Llegadas '!O15-SUM('Llegadas x nacionalidad'!FO6:FO36)</f>
        <v>774</v>
      </c>
      <c r="FP38" s="2524">
        <f>'Llegadas '!$P$4-SUM('Llegadas x nacionalidad'!FP7:FP37)</f>
        <v>652</v>
      </c>
      <c r="FQ38" s="2523">
        <f>'Llegadas '!$P$5-SUM('Llegadas x nacionalidad'!FQ7:FQ37)</f>
        <v>552</v>
      </c>
      <c r="FR38" s="2523">
        <f>'Llegadas '!$P$6-SUM('Llegadas x nacionalidad'!FR7:FR37)</f>
        <v>674</v>
      </c>
      <c r="FS38" s="2523">
        <f>'Llegadas '!$P$7-SUM('Llegadas x nacionalidad'!FS7:FS37)</f>
        <v>692</v>
      </c>
      <c r="FT38" s="2523">
        <f>'Llegadas '!$P$8-SUM('Llegadas x nacionalidad'!FT7:FT37)</f>
        <v>691</v>
      </c>
      <c r="FU38" s="2523">
        <f>'Llegadas '!$P$9-SUM('Llegadas x nacionalidad'!FU7:FU37)</f>
        <v>864</v>
      </c>
      <c r="FV38" s="2523">
        <f>'Llegadas '!$P$10-SUM('Llegadas x nacionalidad'!FV7:FV37)</f>
        <v>1244</v>
      </c>
      <c r="FW38" s="2523">
        <f>'Llegadas '!$P$11-SUM('Llegadas x nacionalidad'!FW7:FW37)</f>
        <v>1282</v>
      </c>
      <c r="FX38" s="2523">
        <f>'Llegadas '!$P$12-SUM('Llegadas x nacionalidad'!FX7:FX37)</f>
        <v>1576</v>
      </c>
      <c r="FY38" s="2523">
        <f>'Llegadas '!$P$13-SUM('Llegadas x nacionalidad'!FY7:FY37)</f>
        <v>1624</v>
      </c>
      <c r="FZ38" s="2523">
        <f>'Llegadas '!$P$14-SUM('Llegadas x nacionalidad'!FZ7:FZ37)</f>
        <v>2233</v>
      </c>
      <c r="GA38" s="2277">
        <f>'Llegadas '!$P$15-SUM('Llegadas x nacionalidad'!GA7:GA37)</f>
        <v>1734</v>
      </c>
      <c r="GB38" s="3968">
        <f>'Llegadas '!$Q$4-SUM('Llegadas x nacionalidad'!GB7:GB37)</f>
        <v>1591</v>
      </c>
      <c r="GC38" s="3967">
        <f>'Llegadas '!$Q$5-SUM('Llegadas x nacionalidad'!GC7:GC37)</f>
        <v>1721</v>
      </c>
      <c r="GD38" s="3967">
        <f>'Llegadas '!$Q$6-SUM('Llegadas x nacionalidad'!GD7:GD37)</f>
        <v>1795</v>
      </c>
      <c r="GE38" s="3967">
        <f>'Llegadas '!$Q$7-SUM('Llegadas x nacionalidad'!GE7:GE37)</f>
        <v>2005</v>
      </c>
      <c r="GF38" s="3967">
        <f>'Llegadas '!$Q$8-SUM('Llegadas x nacionalidad'!GF7:GF37)</f>
        <v>1926</v>
      </c>
      <c r="GG38" s="3967">
        <f>'Llegadas '!$Q$9-SUM('Llegadas x nacionalidad'!GG7:GG37)</f>
        <v>31716</v>
      </c>
      <c r="GH38" s="3967">
        <f>'Llegadas '!$Q$10-SUM('Llegadas x nacionalidad'!GH7:GH37)</f>
        <v>42025</v>
      </c>
      <c r="GI38" s="3967">
        <f>'Llegadas '!$Q$11-SUM('Llegadas x nacionalidad'!GI7:GI37)</f>
        <v>38472</v>
      </c>
      <c r="GJ38" s="3967">
        <f>'Llegadas '!$Q$12-SUM('Llegadas x nacionalidad'!GJ7:GJ37)</f>
        <v>35385</v>
      </c>
      <c r="GK38" s="3967">
        <f>'Llegadas '!$Q$13-SUM('Llegadas x nacionalidad'!GK7:GK37)</f>
        <v>41233</v>
      </c>
      <c r="GL38" s="3967">
        <f>'Llegadas '!$Q$14-SUM('Llegadas x nacionalidad'!GL7:GL37)</f>
        <v>48322</v>
      </c>
      <c r="GM38" s="3969">
        <f>'Llegadas '!$Q$15-SUM('Llegadas x nacionalidad'!GM7:GM37)</f>
        <v>52712</v>
      </c>
      <c r="GN38" s="2607"/>
      <c r="GO38" s="2778">
        <v>3653</v>
      </c>
      <c r="GP38" s="2779">
        <v>3376</v>
      </c>
      <c r="GQ38" s="2779">
        <v>4705</v>
      </c>
      <c r="GR38" s="2780">
        <v>4418</v>
      </c>
      <c r="GS38" s="2781">
        <v>5050</v>
      </c>
      <c r="GT38" s="2782">
        <v>4593</v>
      </c>
      <c r="GU38" s="2782">
        <v>5892</v>
      </c>
      <c r="GV38" s="2783">
        <v>5894</v>
      </c>
      <c r="GW38" s="2784">
        <v>5092</v>
      </c>
      <c r="GX38" s="2761">
        <v>5851.5</v>
      </c>
      <c r="GY38" s="2785">
        <v>6328</v>
      </c>
      <c r="GZ38" s="2785">
        <v>5879</v>
      </c>
      <c r="HA38" s="2763">
        <v>6185</v>
      </c>
      <c r="HB38" s="2764">
        <v>5689</v>
      </c>
      <c r="HC38" s="2764">
        <v>6106</v>
      </c>
      <c r="HD38" s="2765">
        <v>7245</v>
      </c>
      <c r="HE38" s="2766">
        <v>6483</v>
      </c>
      <c r="HF38" s="2767">
        <v>5946</v>
      </c>
      <c r="HG38" s="2767">
        <v>5449</v>
      </c>
      <c r="HH38" s="2768">
        <v>5829</v>
      </c>
      <c r="HI38" s="2764">
        <v>5744</v>
      </c>
      <c r="HJ38" s="2764">
        <v>6164</v>
      </c>
      <c r="HK38" s="2764">
        <v>6850</v>
      </c>
      <c r="HL38" s="2764">
        <v>7579</v>
      </c>
      <c r="HM38" s="2769">
        <v>8603</v>
      </c>
      <c r="HN38" s="2769">
        <v>8855</v>
      </c>
      <c r="HO38" s="2769">
        <v>8588</v>
      </c>
      <c r="HP38" s="2769">
        <v>10408</v>
      </c>
      <c r="HQ38" s="2770">
        <v>6892</v>
      </c>
      <c r="HR38" s="2770">
        <v>7466</v>
      </c>
      <c r="HS38" s="2770">
        <f>+CP38+CQ38+CR38</f>
        <v>10990</v>
      </c>
      <c r="HT38" s="2770">
        <v>12986</v>
      </c>
      <c r="HU38" s="2771">
        <v>13159</v>
      </c>
      <c r="HV38" s="2771">
        <f>+CY38+CZ38+DA38</f>
        <v>13743</v>
      </c>
      <c r="HW38" s="2771">
        <f>+DB38+DC38+DD38</f>
        <v>10247</v>
      </c>
      <c r="HX38" s="2770">
        <f>+DE38+DF38+DG38</f>
        <v>8562</v>
      </c>
      <c r="HY38" s="2689">
        <f>+DH38+DI38+DJ38</f>
        <v>7879</v>
      </c>
      <c r="HZ38" s="2689">
        <f>+DM38+DL38+DK38</f>
        <v>6811</v>
      </c>
      <c r="IA38" s="2689">
        <f>+DS38+DO38+DN38</f>
        <v>9052</v>
      </c>
      <c r="IB38" s="2689">
        <f>+DQ38+DR38+DS38</f>
        <v>13006</v>
      </c>
      <c r="IC38" s="2764">
        <f>+DT38+DU38+DV38</f>
        <v>9457</v>
      </c>
      <c r="ID38" s="2764">
        <f>+DW38+DX38+DY38</f>
        <v>10403</v>
      </c>
      <c r="IE38" s="2764">
        <f>+DZ38+EA38+EB38</f>
        <v>11370</v>
      </c>
      <c r="IF38" s="2764">
        <f>+EC38+ED38+EE38</f>
        <v>11965</v>
      </c>
      <c r="IG38" s="2772">
        <f>EF38+EG38+EH38</f>
        <v>11779</v>
      </c>
      <c r="IH38" s="2769">
        <f>EI38+EJ38+EK38</f>
        <v>12389</v>
      </c>
      <c r="II38" s="2769">
        <f>EL38+EM38+EN38</f>
        <v>12115</v>
      </c>
      <c r="IJ38" s="2769">
        <f>EO38+EP38+EQ38</f>
        <v>13307</v>
      </c>
      <c r="IK38" s="2773">
        <f>ER38+ES38+ET38</f>
        <v>12390</v>
      </c>
      <c r="IL38" s="2774">
        <f>EU38+EV38+EW38</f>
        <v>15386</v>
      </c>
      <c r="IM38" s="2774">
        <f>EX38+EY38+EZ38</f>
        <v>10927</v>
      </c>
      <c r="IN38" s="2774">
        <f>FA38+FB38+FC38</f>
        <v>9142</v>
      </c>
      <c r="IO38" s="2775">
        <f>FD38+FE38+FF38</f>
        <v>8039</v>
      </c>
      <c r="IP38" s="2776">
        <f>FG38+FH38+FI38</f>
        <v>146</v>
      </c>
      <c r="IQ38" s="2776">
        <f>FJ38+FK38+FL38</f>
        <v>575</v>
      </c>
      <c r="IR38" s="2777">
        <f>FM38+FN38+FO38</f>
        <v>1691</v>
      </c>
      <c r="IS38" s="2772">
        <f>FP38+FQ38+FR38</f>
        <v>1878</v>
      </c>
      <c r="IT38" s="2769">
        <f>FS38+FT38+FU38</f>
        <v>2247</v>
      </c>
      <c r="IU38" s="2769">
        <f>FV38+FW38+FX38</f>
        <v>4102</v>
      </c>
      <c r="IV38" s="2769">
        <f>FY38+FZ38+GA38</f>
        <v>5591</v>
      </c>
      <c r="IW38" s="3961">
        <f t="shared" si="46"/>
        <v>5107</v>
      </c>
      <c r="IX38" s="3953">
        <f t="shared" si="47"/>
        <v>35647</v>
      </c>
      <c r="IY38" s="3953">
        <f t="shared" si="48"/>
        <v>115882</v>
      </c>
      <c r="IZ38" s="3962">
        <f t="shared" si="49"/>
        <v>142267</v>
      </c>
      <c r="JA38" s="3957"/>
      <c r="JB38" s="3419">
        <v>16152</v>
      </c>
      <c r="JC38" s="3420">
        <v>21429</v>
      </c>
      <c r="JD38" s="3420">
        <v>23150.5</v>
      </c>
      <c r="JE38" s="3420">
        <v>25225</v>
      </c>
      <c r="JF38" s="3420">
        <v>23707</v>
      </c>
      <c r="JG38" s="3420">
        <v>26337</v>
      </c>
      <c r="JH38" s="3421">
        <f>36454+28</f>
        <v>36482</v>
      </c>
      <c r="JI38" s="3422">
        <v>38334</v>
      </c>
      <c r="JJ38" s="3422">
        <f>SUM(CV38:DG38)</f>
        <v>45711</v>
      </c>
      <c r="JK38" s="3422">
        <f>SUM(DH38:DS38)</f>
        <v>35590</v>
      </c>
      <c r="JL38" s="3422">
        <f>SUM(DT38:EE38)+12</f>
        <v>43207</v>
      </c>
      <c r="JM38" s="3422">
        <f>SUM(EF38:EQ38)</f>
        <v>49590</v>
      </c>
      <c r="JN38" s="3423">
        <f>684390-SUM(JN6:JN36)</f>
        <v>48644</v>
      </c>
      <c r="JO38" s="3424">
        <f>SUM(FD38:FO38)</f>
        <v>10451</v>
      </c>
      <c r="JP38" s="3378">
        <f t="shared" si="50"/>
        <v>13818</v>
      </c>
      <c r="JQ38" s="4663">
        <f>'Llegadas '!Q16-SUM(JQ7:JQ37)</f>
        <v>96058</v>
      </c>
      <c r="JS38" s="4673">
        <f t="shared" si="52"/>
        <v>1204</v>
      </c>
      <c r="JT38" s="3577">
        <f>SUM(GB38:GD38)</f>
        <v>5107</v>
      </c>
      <c r="JU38" s="2525"/>
      <c r="JV38" s="3425">
        <f t="shared" si="54"/>
        <v>40109</v>
      </c>
      <c r="JW38" s="3366">
        <f>JK38/$JK$39</f>
        <v>5.6705745141214674E-2</v>
      </c>
      <c r="JX38" s="3366">
        <f>JL38/$JL$39</f>
        <v>6.6173914242086837E-2</v>
      </c>
      <c r="JY38" s="3366">
        <f t="shared" si="61"/>
        <v>7.2183406113537116E-2</v>
      </c>
      <c r="JZ38" s="3366">
        <f t="shared" si="61"/>
        <v>7.0806404657933045E-2</v>
      </c>
      <c r="KA38" s="3366">
        <f>JO38/$JO$39</f>
        <v>5.4753110674525214E-2</v>
      </c>
      <c r="KB38" s="4689">
        <f>JP38/$JP$39</f>
        <v>4.9175077225298583E-2</v>
      </c>
      <c r="KC38" s="4692">
        <f t="shared" si="56"/>
        <v>0.20079391125669172</v>
      </c>
      <c r="KD38" s="3366"/>
      <c r="KE38" s="3426">
        <f>JL38/JK38-1</f>
        <v>0.21402079235740379</v>
      </c>
      <c r="KF38" s="3427">
        <f>JV38/JK38-1</f>
        <v>0.12697386906434383</v>
      </c>
      <c r="KG38" s="3427">
        <f t="shared" ref="KG38:KI39" si="63">JM38/JL38-1</f>
        <v>0.14773069178605325</v>
      </c>
      <c r="KH38" s="3427">
        <f t="shared" si="63"/>
        <v>-1.9076426698931281E-2</v>
      </c>
      <c r="KI38" s="3427">
        <f t="shared" si="63"/>
        <v>-0.78515335909875827</v>
      </c>
      <c r="KJ38" s="3368">
        <f>JP38/JN38-1</f>
        <v>-0.71593618945810378</v>
      </c>
      <c r="KK38" s="3369">
        <f t="shared" si="57"/>
        <v>0.32217012726054928</v>
      </c>
      <c r="KL38" s="4678">
        <f t="shared" si="59"/>
        <v>0.97471425047282301</v>
      </c>
      <c r="KM38" s="4678">
        <f t="shared" si="58"/>
        <v>5.9516572586481402</v>
      </c>
      <c r="KN38" s="2525"/>
      <c r="KO38" s="2525"/>
      <c r="KP38" s="2525"/>
      <c r="KQ38" s="2525"/>
      <c r="KR38" s="2525"/>
      <c r="KS38" s="2525"/>
      <c r="KT38" s="2525"/>
      <c r="KU38" s="2525"/>
      <c r="KV38" s="2525"/>
      <c r="KW38" s="2525"/>
      <c r="KX38" s="2525"/>
      <c r="KY38" s="2525"/>
      <c r="KZ38" s="2525"/>
      <c r="LA38" s="2525"/>
      <c r="LB38" s="2525"/>
      <c r="LC38" s="2525"/>
      <c r="LD38" s="2525"/>
      <c r="LE38" s="2525"/>
      <c r="LF38" s="2525"/>
      <c r="LG38" s="2525"/>
      <c r="LH38" s="2525"/>
      <c r="LI38" s="2525"/>
      <c r="LJ38" s="2525"/>
      <c r="LK38" s="2525"/>
      <c r="LL38" s="2525"/>
      <c r="LM38" s="2525"/>
      <c r="LN38" s="2525"/>
      <c r="LO38" s="2525"/>
      <c r="LP38" s="2525"/>
      <c r="LQ38" s="2525"/>
      <c r="LR38" s="2525"/>
    </row>
    <row r="39" spans="1:330" ht="21" customHeight="1" thickBot="1">
      <c r="A39" s="3428"/>
      <c r="B39" s="3429"/>
      <c r="C39" s="3430" t="s">
        <v>52</v>
      </c>
      <c r="D39" s="3431">
        <v>29447</v>
      </c>
      <c r="E39" s="3432">
        <v>29249</v>
      </c>
      <c r="F39" s="3432">
        <v>32536</v>
      </c>
      <c r="G39" s="3432">
        <v>26929</v>
      </c>
      <c r="H39" s="3432">
        <v>28526</v>
      </c>
      <c r="I39" s="3432">
        <v>41105</v>
      </c>
      <c r="J39" s="3432">
        <v>49933</v>
      </c>
      <c r="K39" s="3432">
        <v>42244</v>
      </c>
      <c r="L39" s="3432">
        <v>31407</v>
      </c>
      <c r="M39" s="3432">
        <v>33891</v>
      </c>
      <c r="N39" s="3432">
        <v>35806</v>
      </c>
      <c r="O39" s="3433">
        <v>36780</v>
      </c>
      <c r="P39" s="3434">
        <v>34991</v>
      </c>
      <c r="Q39" s="3435">
        <v>46490</v>
      </c>
      <c r="R39" s="3435">
        <v>36805</v>
      </c>
      <c r="S39" s="3435">
        <v>31105</v>
      </c>
      <c r="T39" s="3435">
        <v>35598</v>
      </c>
      <c r="U39" s="3435">
        <v>45584</v>
      </c>
      <c r="V39" s="3435">
        <v>50484</v>
      </c>
      <c r="W39" s="3435">
        <v>43576</v>
      </c>
      <c r="X39" s="3435">
        <v>34318</v>
      </c>
      <c r="Y39" s="3435">
        <v>36977</v>
      </c>
      <c r="Z39" s="3435">
        <v>38290</v>
      </c>
      <c r="AA39" s="3436">
        <v>37281</v>
      </c>
      <c r="AB39" s="3437">
        <v>35904</v>
      </c>
      <c r="AC39" s="3438">
        <v>32995</v>
      </c>
      <c r="AD39" s="3438">
        <v>34242</v>
      </c>
      <c r="AE39" s="3438">
        <v>33161</v>
      </c>
      <c r="AF39" s="3438">
        <v>32773</v>
      </c>
      <c r="AG39" s="3438">
        <v>46796</v>
      </c>
      <c r="AH39" s="3438">
        <v>50069</v>
      </c>
      <c r="AI39" s="3438">
        <v>44378</v>
      </c>
      <c r="AJ39" s="3438">
        <v>33494</v>
      </c>
      <c r="AK39" s="3438">
        <v>35959</v>
      </c>
      <c r="AL39" s="3438">
        <v>38401</v>
      </c>
      <c r="AM39" s="3439">
        <v>43693</v>
      </c>
      <c r="AN39" s="3440">
        <v>38603</v>
      </c>
      <c r="AO39" s="3441">
        <v>39843</v>
      </c>
      <c r="AP39" s="3441">
        <v>38029</v>
      </c>
      <c r="AQ39" s="3441">
        <v>31598</v>
      </c>
      <c r="AR39" s="3441">
        <v>37116</v>
      </c>
      <c r="AS39" s="3441">
        <v>46093</v>
      </c>
      <c r="AT39" s="3441">
        <v>49766</v>
      </c>
      <c r="AU39" s="3441">
        <v>42481</v>
      </c>
      <c r="AV39" s="3441">
        <v>33003</v>
      </c>
      <c r="AW39" s="3441">
        <v>38298</v>
      </c>
      <c r="AX39" s="3441">
        <v>38171</v>
      </c>
      <c r="AY39" s="3442">
        <v>41220</v>
      </c>
      <c r="AZ39" s="3443">
        <v>37463</v>
      </c>
      <c r="BA39" s="3443">
        <v>35978</v>
      </c>
      <c r="BB39" s="3443">
        <v>39415</v>
      </c>
      <c r="BC39" s="3443">
        <v>35949</v>
      </c>
      <c r="BD39" s="3443">
        <v>38023</v>
      </c>
      <c r="BE39" s="3443">
        <v>47844</v>
      </c>
      <c r="BF39" s="3443">
        <v>51152</v>
      </c>
      <c r="BG39" s="3443">
        <v>43036</v>
      </c>
      <c r="BH39" s="3443">
        <v>34628</v>
      </c>
      <c r="BI39" s="3443">
        <v>38582</v>
      </c>
      <c r="BJ39" s="3443">
        <v>41073</v>
      </c>
      <c r="BK39" s="3444">
        <v>44235</v>
      </c>
      <c r="BL39" s="3445">
        <v>37773</v>
      </c>
      <c r="BM39" s="3446">
        <v>35654</v>
      </c>
      <c r="BN39" s="3446">
        <v>40663</v>
      </c>
      <c r="BO39" s="3446">
        <v>36524</v>
      </c>
      <c r="BP39" s="3446">
        <v>40720</v>
      </c>
      <c r="BQ39" s="3446">
        <v>54166</v>
      </c>
      <c r="BR39" s="3446">
        <v>56168</v>
      </c>
      <c r="BS39" s="3446">
        <v>46212</v>
      </c>
      <c r="BT39" s="3447">
        <v>39747</v>
      </c>
      <c r="BU39" s="3447">
        <v>44864</v>
      </c>
      <c r="BV39" s="3447">
        <v>46422</v>
      </c>
      <c r="BW39" s="3448">
        <v>54545</v>
      </c>
      <c r="BX39" s="3449">
        <v>46137</v>
      </c>
      <c r="BY39" s="3450">
        <v>43174</v>
      </c>
      <c r="BZ39" s="3450">
        <v>49027</v>
      </c>
      <c r="CA39" s="3450">
        <v>41634</v>
      </c>
      <c r="CB39" s="3450">
        <v>48103</v>
      </c>
      <c r="CC39" s="3450">
        <v>61054</v>
      </c>
      <c r="CD39" s="3450">
        <v>64119</v>
      </c>
      <c r="CE39" s="3450">
        <v>52709</v>
      </c>
      <c r="CF39" s="3450">
        <v>49386</v>
      </c>
      <c r="CG39" s="3450">
        <v>52967</v>
      </c>
      <c r="CH39" s="3450">
        <v>56261</v>
      </c>
      <c r="CI39" s="3451">
        <v>64359</v>
      </c>
      <c r="CJ39" s="3452">
        <v>51688</v>
      </c>
      <c r="CK39" s="3453">
        <v>53622</v>
      </c>
      <c r="CL39" s="3453">
        <v>51748</v>
      </c>
      <c r="CM39" s="3453">
        <v>49570</v>
      </c>
      <c r="CN39" s="3453">
        <v>52174</v>
      </c>
      <c r="CO39" s="3453">
        <v>58795</v>
      </c>
      <c r="CP39" s="3453">
        <v>71099</v>
      </c>
      <c r="CQ39" s="3453">
        <v>57790</v>
      </c>
      <c r="CR39" s="3453">
        <v>55854</v>
      </c>
      <c r="CS39" s="3453">
        <v>59469</v>
      </c>
      <c r="CT39" s="3453">
        <v>63257</v>
      </c>
      <c r="CU39" s="3454">
        <v>77949</v>
      </c>
      <c r="CV39" s="3449">
        <v>58224</v>
      </c>
      <c r="CW39" s="3450">
        <v>53321</v>
      </c>
      <c r="CX39" s="3451">
        <v>59393</v>
      </c>
      <c r="CY39" s="3451">
        <v>53854</v>
      </c>
      <c r="CZ39" s="3451">
        <v>56638</v>
      </c>
      <c r="DA39" s="3451">
        <v>67138</v>
      </c>
      <c r="DB39" s="3451">
        <v>73006</v>
      </c>
      <c r="DC39" s="3451">
        <v>52994</v>
      </c>
      <c r="DD39" s="3451">
        <v>51643</v>
      </c>
      <c r="DE39" s="3451">
        <v>56449</v>
      </c>
      <c r="DF39" s="3451">
        <v>61342</v>
      </c>
      <c r="DG39" s="3455">
        <v>68875</v>
      </c>
      <c r="DH39" s="3456">
        <v>52833</v>
      </c>
      <c r="DI39" s="3457">
        <v>51438</v>
      </c>
      <c r="DJ39" s="3457">
        <v>54420</v>
      </c>
      <c r="DK39" s="3458">
        <v>40983</v>
      </c>
      <c r="DL39" s="3458">
        <v>46162</v>
      </c>
      <c r="DM39" s="3458">
        <v>61277</v>
      </c>
      <c r="DN39" s="3458">
        <v>66352</v>
      </c>
      <c r="DO39" s="3458">
        <v>47805</v>
      </c>
      <c r="DP39" s="3459">
        <f>SUM(DP6:DP38)</f>
        <v>40169</v>
      </c>
      <c r="DQ39" s="3458">
        <v>53831</v>
      </c>
      <c r="DR39" s="3458">
        <v>48311</v>
      </c>
      <c r="DS39" s="3460">
        <v>64045</v>
      </c>
      <c r="DT39" s="3461">
        <v>50617</v>
      </c>
      <c r="DU39" s="3462">
        <v>47432</v>
      </c>
      <c r="DV39" s="3462">
        <v>53030</v>
      </c>
      <c r="DW39" s="3463">
        <v>50212</v>
      </c>
      <c r="DX39" s="3463">
        <v>47035</v>
      </c>
      <c r="DY39" s="3463">
        <v>65878</v>
      </c>
      <c r="DZ39" s="3463">
        <v>70150</v>
      </c>
      <c r="EA39" s="3463">
        <v>51198</v>
      </c>
      <c r="EB39" s="3463">
        <v>45357</v>
      </c>
      <c r="EC39" s="3463">
        <v>49733</v>
      </c>
      <c r="ED39" s="3463">
        <v>52215</v>
      </c>
      <c r="EE39" s="3462">
        <v>70062</v>
      </c>
      <c r="EF39" s="3464">
        <f>SUM(EF6:EF38)</f>
        <v>53209</v>
      </c>
      <c r="EG39" s="3461">
        <f t="shared" ref="EG39:EQ39" si="64">SUM(EG6:EG38)</f>
        <v>52932</v>
      </c>
      <c r="EH39" s="3461">
        <f t="shared" si="64"/>
        <v>58463</v>
      </c>
      <c r="EI39" s="3461">
        <f t="shared" si="64"/>
        <v>47838</v>
      </c>
      <c r="EJ39" s="3461">
        <f t="shared" si="64"/>
        <v>54000</v>
      </c>
      <c r="EK39" s="3461">
        <f t="shared" si="64"/>
        <v>70764</v>
      </c>
      <c r="EL39" s="3461">
        <f t="shared" si="64"/>
        <v>73161</v>
      </c>
      <c r="EM39" s="3461">
        <f t="shared" si="64"/>
        <v>54375</v>
      </c>
      <c r="EN39" s="3461">
        <f t="shared" si="64"/>
        <v>50018</v>
      </c>
      <c r="EO39" s="3461">
        <f t="shared" si="64"/>
        <v>53057</v>
      </c>
      <c r="EP39" s="3461">
        <f t="shared" si="64"/>
        <v>54720</v>
      </c>
      <c r="EQ39" s="3461">
        <f t="shared" si="64"/>
        <v>71516</v>
      </c>
      <c r="ER39" s="3464">
        <f>SUM(ER6:ER38)</f>
        <v>53092</v>
      </c>
      <c r="ES39" s="3464">
        <f t="shared" ref="ES39:GM39" si="65">SUM(ES6:ES38)</f>
        <v>52087</v>
      </c>
      <c r="ET39" s="3464">
        <f t="shared" si="65"/>
        <v>54917</v>
      </c>
      <c r="EU39" s="3464">
        <f t="shared" si="65"/>
        <v>53439</v>
      </c>
      <c r="EV39" s="3464">
        <f t="shared" si="65"/>
        <v>54096</v>
      </c>
      <c r="EW39" s="3464">
        <f t="shared" si="65"/>
        <v>70900</v>
      </c>
      <c r="EX39" s="3464">
        <f t="shared" si="65"/>
        <v>77055</v>
      </c>
      <c r="EY39" s="3464">
        <f t="shared" si="65"/>
        <v>57538</v>
      </c>
      <c r="EZ39" s="3464">
        <f t="shared" si="65"/>
        <v>52948</v>
      </c>
      <c r="FA39" s="3464">
        <f t="shared" si="65"/>
        <v>42601</v>
      </c>
      <c r="FB39" s="3464">
        <f t="shared" si="65"/>
        <v>53170</v>
      </c>
      <c r="FC39" s="3464">
        <f t="shared" si="65"/>
        <v>64358</v>
      </c>
      <c r="FD39" s="2786">
        <f t="shared" si="65"/>
        <v>58083</v>
      </c>
      <c r="FE39" s="2786">
        <f t="shared" si="65"/>
        <v>55403</v>
      </c>
      <c r="FF39" s="2786">
        <f t="shared" si="65"/>
        <v>22343</v>
      </c>
      <c r="FG39" s="2786">
        <f t="shared" si="65"/>
        <v>381</v>
      </c>
      <c r="FH39" s="2786">
        <f t="shared" si="65"/>
        <v>652</v>
      </c>
      <c r="FI39" s="2786">
        <f t="shared" si="65"/>
        <v>1435</v>
      </c>
      <c r="FJ39" s="2786">
        <f t="shared" si="65"/>
        <v>3662</v>
      </c>
      <c r="FK39" s="2786">
        <f t="shared" si="65"/>
        <v>4555</v>
      </c>
      <c r="FL39" s="2786">
        <f t="shared" si="65"/>
        <v>5719</v>
      </c>
      <c r="FM39" s="2786">
        <f t="shared" si="65"/>
        <v>9079</v>
      </c>
      <c r="FN39" s="2786">
        <f t="shared" si="65"/>
        <v>11560</v>
      </c>
      <c r="FO39" s="2787">
        <f t="shared" si="65"/>
        <v>18535</v>
      </c>
      <c r="FP39" s="2786">
        <f>SUM(FP6:FP38)</f>
        <v>14237</v>
      </c>
      <c r="FQ39" s="2786">
        <f t="shared" si="65"/>
        <v>10895</v>
      </c>
      <c r="FR39" s="2786">
        <f t="shared" si="65"/>
        <v>13935</v>
      </c>
      <c r="FS39" s="2786">
        <f t="shared" si="65"/>
        <v>13232</v>
      </c>
      <c r="FT39" s="2786">
        <f t="shared" si="65"/>
        <v>15295</v>
      </c>
      <c r="FU39" s="2786">
        <f t="shared" si="65"/>
        <v>22654</v>
      </c>
      <c r="FV39" s="2786">
        <f t="shared" si="65"/>
        <v>30018</v>
      </c>
      <c r="FW39" s="2786">
        <f t="shared" si="65"/>
        <v>27480</v>
      </c>
      <c r="FX39" s="2786">
        <f t="shared" si="65"/>
        <v>25275</v>
      </c>
      <c r="FY39" s="2786">
        <f t="shared" si="65"/>
        <v>29775</v>
      </c>
      <c r="FZ39" s="2786">
        <f t="shared" si="65"/>
        <v>35230</v>
      </c>
      <c r="GA39" s="2787">
        <f t="shared" si="65"/>
        <v>42970</v>
      </c>
      <c r="GB39" s="4662">
        <f t="shared" si="65"/>
        <v>31435</v>
      </c>
      <c r="GC39" s="4662">
        <f t="shared" si="65"/>
        <v>33370</v>
      </c>
      <c r="GD39" s="4662">
        <f t="shared" si="65"/>
        <v>38123</v>
      </c>
      <c r="GE39" s="4662">
        <f t="shared" si="65"/>
        <v>41841</v>
      </c>
      <c r="GF39" s="4662">
        <f t="shared" si="65"/>
        <v>43757</v>
      </c>
      <c r="GG39" s="4662">
        <f t="shared" si="65"/>
        <v>31716</v>
      </c>
      <c r="GH39" s="4662">
        <f t="shared" si="65"/>
        <v>42025</v>
      </c>
      <c r="GI39" s="4662">
        <f t="shared" si="65"/>
        <v>38472</v>
      </c>
      <c r="GJ39" s="4662">
        <f t="shared" si="65"/>
        <v>35385</v>
      </c>
      <c r="GK39" s="4662">
        <f t="shared" si="65"/>
        <v>41233</v>
      </c>
      <c r="GL39" s="4662">
        <f t="shared" si="65"/>
        <v>48322</v>
      </c>
      <c r="GM39" s="4662">
        <f t="shared" si="65"/>
        <v>52712</v>
      </c>
      <c r="GN39" s="2788"/>
      <c r="GO39" s="2789">
        <v>91232</v>
      </c>
      <c r="GP39" s="2790">
        <v>96560</v>
      </c>
      <c r="GQ39" s="2790">
        <v>123584</v>
      </c>
      <c r="GR39" s="2791">
        <v>106477</v>
      </c>
      <c r="GS39" s="2792">
        <v>118286</v>
      </c>
      <c r="GT39" s="2793">
        <v>112287</v>
      </c>
      <c r="GU39" s="2793">
        <v>128378</v>
      </c>
      <c r="GV39" s="2794">
        <v>112548</v>
      </c>
      <c r="GW39" s="2795">
        <v>103141</v>
      </c>
      <c r="GX39" s="2796">
        <v>112730</v>
      </c>
      <c r="GY39" s="2796">
        <v>127941</v>
      </c>
      <c r="GZ39" s="2796">
        <v>118053</v>
      </c>
      <c r="HA39" s="2797">
        <v>116475</v>
      </c>
      <c r="HB39" s="2798">
        <v>114807</v>
      </c>
      <c r="HC39" s="2798">
        <v>125250</v>
      </c>
      <c r="HD39" s="2799">
        <v>117689</v>
      </c>
      <c r="HE39" s="2800">
        <v>112856</v>
      </c>
      <c r="HF39" s="2801">
        <v>121816</v>
      </c>
      <c r="HG39" s="2801">
        <v>128816</v>
      </c>
      <c r="HH39" s="2802">
        <v>123890</v>
      </c>
      <c r="HI39" s="2798">
        <v>114090</v>
      </c>
      <c r="HJ39" s="2798">
        <v>131410</v>
      </c>
      <c r="HK39" s="2798">
        <v>142127</v>
      </c>
      <c r="HL39" s="2798">
        <v>145831</v>
      </c>
      <c r="HM39" s="2803">
        <v>138338</v>
      </c>
      <c r="HN39" s="2803">
        <v>150791</v>
      </c>
      <c r="HO39" s="2803">
        <v>166214</v>
      </c>
      <c r="HP39" s="2803">
        <v>173587</v>
      </c>
      <c r="HQ39" s="2804">
        <v>157058</v>
      </c>
      <c r="HR39" s="2804">
        <v>160539</v>
      </c>
      <c r="HS39" s="2804">
        <f>+CP39+CQ39+CR39</f>
        <v>184743</v>
      </c>
      <c r="HT39" s="2804">
        <v>200675</v>
      </c>
      <c r="HU39" s="2805">
        <v>170938</v>
      </c>
      <c r="HV39" s="2805">
        <f>+CY39+CZ39+DA39</f>
        <v>177630</v>
      </c>
      <c r="HW39" s="2805">
        <f>+DB39+DC39+DD39</f>
        <v>177643</v>
      </c>
      <c r="HX39" s="2804">
        <f>+DE39+DF39+DG39</f>
        <v>186666</v>
      </c>
      <c r="HY39" s="2806">
        <f>+DH39+DI39+DJ39</f>
        <v>158691</v>
      </c>
      <c r="HZ39" s="2806">
        <f>+DM39+DL39+DK39</f>
        <v>148422</v>
      </c>
      <c r="IA39" s="2806">
        <f>+DS39+DO39+DN39</f>
        <v>178202</v>
      </c>
      <c r="IB39" s="2806">
        <f>+DQ39+DR39+DS39</f>
        <v>166187</v>
      </c>
      <c r="IC39" s="2798">
        <f>+DT39+DU39+DV39</f>
        <v>151079</v>
      </c>
      <c r="ID39" s="2798">
        <f>+DW39+DX39+DY39</f>
        <v>163125</v>
      </c>
      <c r="IE39" s="2798">
        <f>+DZ39+EA39+EB39</f>
        <v>166705</v>
      </c>
      <c r="IF39" s="2798">
        <f>+EC39+ED39+EE39</f>
        <v>172010</v>
      </c>
      <c r="IG39" s="2807">
        <f>EF39+EG39+EH39</f>
        <v>164604</v>
      </c>
      <c r="IH39" s="2803">
        <f>EI39+EJ39+EK39</f>
        <v>172602</v>
      </c>
      <c r="II39" s="2803">
        <f>EL39+EM39+EN39</f>
        <v>177554</v>
      </c>
      <c r="IJ39" s="2803">
        <f>EO39+EP39+EQ39</f>
        <v>179293</v>
      </c>
      <c r="IK39" s="2808">
        <f>ER39+ES39+ET39</f>
        <v>160096</v>
      </c>
      <c r="IL39" s="2809">
        <f>EU39+EV39+EW39</f>
        <v>178435</v>
      </c>
      <c r="IM39" s="2809">
        <f>EX39+EY39+EZ39</f>
        <v>187541</v>
      </c>
      <c r="IN39" s="2809">
        <f>FA39+FB39+FC39</f>
        <v>160129</v>
      </c>
      <c r="IO39" s="2810">
        <f>FD39+FE39+FF39</f>
        <v>135829</v>
      </c>
      <c r="IP39" s="2811">
        <f>FG39+FH39+FI39</f>
        <v>2468</v>
      </c>
      <c r="IQ39" s="2811">
        <f>FJ39+FK39+FL39</f>
        <v>13936</v>
      </c>
      <c r="IR39" s="2812">
        <f>FM39+FN39+FO39</f>
        <v>39174</v>
      </c>
      <c r="IS39" s="2807">
        <f>FP39+FQ39+FR39</f>
        <v>39067</v>
      </c>
      <c r="IT39" s="2803">
        <f>FS39+FT39+FU39</f>
        <v>51181</v>
      </c>
      <c r="IU39" s="2803">
        <f>FV39+FW39+FX39</f>
        <v>82773</v>
      </c>
      <c r="IV39" s="2803">
        <f>FY39+FZ39+GA39</f>
        <v>107975</v>
      </c>
      <c r="IW39" s="3963">
        <f>GB39+GC39+GD39</f>
        <v>102928</v>
      </c>
      <c r="IX39" s="3954">
        <f>GE39+GF39+GG39</f>
        <v>117314</v>
      </c>
      <c r="IY39" s="3954">
        <f>GH39+GI39+GJ39</f>
        <v>115882</v>
      </c>
      <c r="IZ39" s="3964">
        <f>GK39+GL39+GM39</f>
        <v>142267</v>
      </c>
      <c r="JA39" s="3958"/>
      <c r="JB39" s="3465">
        <f>SUM(JB6:JB38)</f>
        <v>417853</v>
      </c>
      <c r="JC39" s="3465">
        <f>SUM(JC6:JC38)</f>
        <v>471499</v>
      </c>
      <c r="JD39" s="3466">
        <v>461865</v>
      </c>
      <c r="JE39" s="3466">
        <f>SUM(JE6:JE38)</f>
        <v>474221</v>
      </c>
      <c r="JF39" s="3466">
        <f t="shared" ref="JF39:JM39" si="66">SUM(JF6:JF38)</f>
        <v>487378</v>
      </c>
      <c r="JG39" s="3466">
        <f t="shared" si="66"/>
        <v>533458</v>
      </c>
      <c r="JH39" s="3466">
        <f t="shared" si="66"/>
        <v>628958</v>
      </c>
      <c r="JI39" s="3466">
        <f t="shared" si="66"/>
        <v>703015</v>
      </c>
      <c r="JJ39" s="3466">
        <f t="shared" si="66"/>
        <v>712877</v>
      </c>
      <c r="JK39" s="3466">
        <f t="shared" si="66"/>
        <v>627626</v>
      </c>
      <c r="JL39" s="3466">
        <f t="shared" si="66"/>
        <v>652931</v>
      </c>
      <c r="JM39" s="3466">
        <f t="shared" si="66"/>
        <v>694053</v>
      </c>
      <c r="JN39" s="3467">
        <f>SUM(JN6:JN38)</f>
        <v>687000</v>
      </c>
      <c r="JO39" s="3468">
        <f>SUM(JO6:JO38)</f>
        <v>190875</v>
      </c>
      <c r="JP39" s="3468">
        <f>SUM(JP7:JP38)</f>
        <v>280996</v>
      </c>
      <c r="JQ39" s="3468">
        <f>SUM(JQ7:JQ38)</f>
        <v>478391</v>
      </c>
      <c r="JS39" s="4665">
        <f t="shared" si="52"/>
        <v>25132</v>
      </c>
      <c r="JT39" s="4677">
        <f>SUM(JT7:JT38)</f>
        <v>184595</v>
      </c>
      <c r="JU39" s="2525"/>
      <c r="JV39" s="3470">
        <f t="shared" si="54"/>
        <v>316754</v>
      </c>
      <c r="JW39" s="3471"/>
      <c r="JX39" s="3471"/>
      <c r="JY39" s="3471"/>
      <c r="JZ39" s="3471"/>
      <c r="KA39" s="3471"/>
      <c r="KB39" s="3471"/>
      <c r="KC39" s="3471"/>
      <c r="KD39" s="3366"/>
      <c r="KE39" s="3472">
        <f>JL39/JK39-1</f>
        <v>4.0318597381242993E-2</v>
      </c>
      <c r="KF39" s="3472">
        <f>JV39/JK39-1</f>
        <v>-0.49531408832648738</v>
      </c>
      <c r="KG39" s="3473">
        <f t="shared" si="63"/>
        <v>6.2980621229502098E-2</v>
      </c>
      <c r="KH39" s="3473">
        <f t="shared" si="63"/>
        <v>-1.0162048143297464E-2</v>
      </c>
      <c r="KI39" s="3473">
        <f t="shared" si="63"/>
        <v>-0.72216157205240172</v>
      </c>
      <c r="KJ39" s="3473">
        <f>JP39/JN39-1</f>
        <v>-0.59098107714701609</v>
      </c>
      <c r="KK39" s="3473">
        <f>JP39/JO39-1</f>
        <v>0.47214669286182054</v>
      </c>
      <c r="KL39" s="4680">
        <f t="shared" si="59"/>
        <v>-0.3036521106259098</v>
      </c>
      <c r="KM39" s="4680">
        <f t="shared" si="58"/>
        <v>0.70248330937095194</v>
      </c>
      <c r="KN39" s="2525"/>
      <c r="KO39" s="2525"/>
      <c r="KP39" s="2525"/>
      <c r="KQ39" s="2525"/>
      <c r="KR39" s="2525"/>
      <c r="KS39" s="2525"/>
      <c r="KT39" s="2525"/>
      <c r="KU39" s="2525"/>
      <c r="KV39" s="2525"/>
      <c r="KW39" s="2525"/>
      <c r="KX39" s="2525"/>
      <c r="KY39" s="2525"/>
      <c r="KZ39" s="2525"/>
      <c r="LA39" s="2525"/>
      <c r="LB39" s="2525"/>
      <c r="LC39" s="2525"/>
      <c r="LD39" s="2525"/>
      <c r="LE39" s="2525"/>
      <c r="LF39" s="2525"/>
      <c r="LG39" s="2525"/>
      <c r="LH39" s="2525"/>
      <c r="LI39" s="2525"/>
      <c r="LJ39" s="2525"/>
      <c r="LK39" s="2525"/>
      <c r="LL39" s="2525"/>
      <c r="LM39" s="2525"/>
      <c r="LN39" s="2525"/>
      <c r="LO39" s="2525"/>
      <c r="LP39" s="2525"/>
      <c r="LQ39" s="2525"/>
      <c r="LR39" s="2525"/>
    </row>
    <row r="40" spans="1:330" ht="21" customHeight="1" thickBot="1">
      <c r="A40" s="3476"/>
      <c r="B40" s="3285"/>
      <c r="C40" s="3477" t="s">
        <v>478</v>
      </c>
      <c r="D40" s="2604"/>
      <c r="E40" s="2573"/>
      <c r="F40" s="2573"/>
      <c r="G40" s="2568"/>
      <c r="H40" s="2573"/>
      <c r="I40" s="2573"/>
      <c r="J40" s="2573"/>
      <c r="K40" s="2573"/>
      <c r="L40" s="2573"/>
      <c r="M40" s="2568"/>
      <c r="N40" s="2573"/>
      <c r="O40" s="2573"/>
      <c r="P40" s="2573"/>
      <c r="Q40" s="2573"/>
      <c r="R40" s="2573"/>
      <c r="S40" s="2568"/>
      <c r="T40" s="2573"/>
      <c r="U40" s="2573"/>
      <c r="V40" s="2573"/>
      <c r="W40" s="2573"/>
      <c r="X40" s="2573"/>
      <c r="Y40" s="2573"/>
      <c r="Z40" s="2573"/>
      <c r="AA40" s="2573"/>
      <c r="AB40" s="2573">
        <v>0</v>
      </c>
      <c r="AC40" s="2573">
        <v>0</v>
      </c>
      <c r="AD40" s="2573">
        <v>0</v>
      </c>
      <c r="AE40" s="2573">
        <v>0</v>
      </c>
      <c r="AF40" s="2573">
        <v>0</v>
      </c>
      <c r="AG40" s="2573">
        <v>0</v>
      </c>
      <c r="AH40" s="2573">
        <v>0</v>
      </c>
      <c r="AI40" s="2573">
        <v>0</v>
      </c>
      <c r="AJ40" s="2573">
        <v>0</v>
      </c>
      <c r="AK40" s="2573">
        <v>0</v>
      </c>
      <c r="AL40" s="2573">
        <v>0</v>
      </c>
      <c r="AM40" s="2573">
        <v>0</v>
      </c>
      <c r="AN40" s="2573"/>
      <c r="AO40" s="2573"/>
      <c r="AP40" s="2573"/>
      <c r="AQ40" s="2573"/>
      <c r="AR40" s="2573"/>
      <c r="AS40" s="2573"/>
      <c r="AT40" s="2573"/>
      <c r="AU40" s="2573"/>
      <c r="AV40" s="2573"/>
      <c r="AW40" s="2573"/>
      <c r="AX40" s="2573">
        <v>0</v>
      </c>
      <c r="AY40" s="2573">
        <v>0</v>
      </c>
      <c r="AZ40" s="2573">
        <v>0</v>
      </c>
      <c r="BA40" s="2573">
        <v>0</v>
      </c>
      <c r="BB40" s="2573">
        <v>0</v>
      </c>
      <c r="BC40" s="2573"/>
      <c r="BD40" s="2573">
        <v>0</v>
      </c>
      <c r="BE40" s="2573">
        <v>0</v>
      </c>
      <c r="BF40" s="2573"/>
      <c r="BG40" s="2573">
        <v>0</v>
      </c>
      <c r="BH40" s="2573"/>
      <c r="BI40" s="2573">
        <v>0</v>
      </c>
      <c r="BJ40" s="2573">
        <v>0</v>
      </c>
      <c r="BK40" s="2573">
        <v>0</v>
      </c>
      <c r="BL40" s="2573">
        <v>0</v>
      </c>
      <c r="BM40" s="2573"/>
      <c r="BN40" s="2573"/>
      <c r="BO40" s="2573"/>
      <c r="BP40" s="2573"/>
      <c r="BQ40" s="2573"/>
      <c r="BR40" s="2573"/>
      <c r="BS40" s="2573"/>
      <c r="BT40" s="2573">
        <v>0</v>
      </c>
      <c r="BU40" s="2573"/>
      <c r="BV40" s="2573"/>
      <c r="BW40" s="2573"/>
      <c r="BX40" s="2573"/>
      <c r="BY40" s="2573"/>
      <c r="BZ40" s="2573"/>
      <c r="CA40" s="2573"/>
      <c r="CB40" s="2573"/>
      <c r="CC40" s="2573">
        <v>5607</v>
      </c>
      <c r="CD40" s="2573"/>
      <c r="CE40" s="2573"/>
      <c r="CF40" s="2573"/>
      <c r="CG40" s="2573"/>
      <c r="CH40" s="2573"/>
      <c r="CI40" s="2573"/>
      <c r="CJ40" s="2573"/>
      <c r="CK40" s="2573"/>
      <c r="CL40" s="2573"/>
      <c r="CM40" s="2573"/>
      <c r="CN40" s="2573"/>
      <c r="CO40" s="2573"/>
      <c r="CP40" s="2573"/>
      <c r="CQ40" s="2573"/>
      <c r="CR40" s="2573"/>
      <c r="CS40" s="2573"/>
      <c r="CT40" s="2573"/>
      <c r="CU40" s="2573"/>
      <c r="CV40" s="2573"/>
      <c r="CW40" s="2573"/>
      <c r="CX40" s="2573"/>
      <c r="CY40" s="2573"/>
      <c r="CZ40" s="2573"/>
      <c r="DA40" s="2573"/>
      <c r="DB40" s="2573"/>
      <c r="DC40" s="2573"/>
      <c r="DD40" s="2573"/>
      <c r="DE40" s="2573"/>
      <c r="DF40" s="2573"/>
      <c r="DG40" s="2573"/>
      <c r="DH40" s="3290">
        <v>0</v>
      </c>
      <c r="DI40" s="3290">
        <v>0</v>
      </c>
      <c r="DJ40" s="3290">
        <v>0</v>
      </c>
      <c r="DK40" s="3290">
        <v>0</v>
      </c>
      <c r="DL40" s="3290">
        <v>0</v>
      </c>
      <c r="DM40" s="3290">
        <v>0</v>
      </c>
      <c r="DN40" s="3290">
        <v>0</v>
      </c>
      <c r="DO40" s="3290">
        <v>0</v>
      </c>
      <c r="DP40" s="3290">
        <v>0</v>
      </c>
      <c r="DQ40" s="3290">
        <v>0</v>
      </c>
      <c r="DR40" s="3290">
        <v>0</v>
      </c>
      <c r="DS40" s="3290">
        <v>0</v>
      </c>
      <c r="DT40" s="3290">
        <v>0</v>
      </c>
      <c r="DU40" s="3290">
        <v>0</v>
      </c>
      <c r="DV40" s="3290">
        <v>0</v>
      </c>
      <c r="DW40" s="3290">
        <v>0</v>
      </c>
      <c r="DX40" s="3290">
        <v>0</v>
      </c>
      <c r="DY40" s="3290">
        <v>0</v>
      </c>
      <c r="DZ40" s="3290"/>
      <c r="EA40" s="3290"/>
      <c r="EB40" s="3290"/>
      <c r="EC40" s="3290"/>
      <c r="ED40" s="3290"/>
      <c r="EE40" s="3290"/>
      <c r="EF40" s="3478">
        <f>EF39/DT39-1</f>
        <v>5.1208092142955852E-2</v>
      </c>
      <c r="EG40" s="3479">
        <f t="shared" ref="EG40:EQ40" si="67">EG39/DU39-1</f>
        <v>0.11595547309833032</v>
      </c>
      <c r="EH40" s="3479">
        <f t="shared" si="67"/>
        <v>0.10245144257967187</v>
      </c>
      <c r="EI40" s="3479">
        <f t="shared" si="67"/>
        <v>-4.7279534772564302E-2</v>
      </c>
      <c r="EJ40" s="3479">
        <f t="shared" si="67"/>
        <v>0.14808121611565861</v>
      </c>
      <c r="EK40" s="3479">
        <f t="shared" si="67"/>
        <v>7.416740034609437E-2</v>
      </c>
      <c r="EL40" s="3479">
        <f t="shared" si="67"/>
        <v>4.2922309337134701E-2</v>
      </c>
      <c r="EM40" s="3479">
        <f t="shared" si="67"/>
        <v>6.2053205203328243E-2</v>
      </c>
      <c r="EN40" s="3479">
        <f t="shared" si="67"/>
        <v>0.10276252838591615</v>
      </c>
      <c r="EO40" s="3479">
        <f t="shared" si="67"/>
        <v>6.6836909094565078E-2</v>
      </c>
      <c r="EP40" s="3480">
        <f t="shared" si="67"/>
        <v>4.797471990807245E-2</v>
      </c>
      <c r="EQ40" s="3479">
        <f t="shared" si="67"/>
        <v>2.0753047300962058E-2</v>
      </c>
      <c r="ER40" s="3478">
        <f t="shared" ref="ER40:FC40" si="68">ER39/EF39-1</f>
        <v>-2.1988761299780446E-3</v>
      </c>
      <c r="ES40" s="3479">
        <f t="shared" si="68"/>
        <v>-1.5963878183329561E-2</v>
      </c>
      <c r="ET40" s="3479">
        <f>ET39/EH39-1</f>
        <v>-6.0653746814224418E-2</v>
      </c>
      <c r="EU40" s="3479">
        <f t="shared" si="68"/>
        <v>0.11708265395710526</v>
      </c>
      <c r="EV40" s="3479">
        <f t="shared" si="68"/>
        <v>1.777777777777878E-3</v>
      </c>
      <c r="EW40" s="3479">
        <f t="shared" si="68"/>
        <v>1.9218811825221227E-3</v>
      </c>
      <c r="EX40" s="3479">
        <f t="shared" si="68"/>
        <v>5.3225078935498438E-2</v>
      </c>
      <c r="EY40" s="3479">
        <f t="shared" si="68"/>
        <v>5.8170114942528661E-2</v>
      </c>
      <c r="EZ40" s="3479">
        <f t="shared" si="68"/>
        <v>5.8578911591826932E-2</v>
      </c>
      <c r="FA40" s="3479">
        <f t="shared" si="68"/>
        <v>-0.1970710745047779</v>
      </c>
      <c r="FB40" s="3480">
        <f t="shared" si="68"/>
        <v>-2.8326023391812893E-2</v>
      </c>
      <c r="FC40" s="3481">
        <f t="shared" si="68"/>
        <v>-0.10008949046367244</v>
      </c>
      <c r="FD40" s="2622">
        <f t="shared" ref="FD40:GM40" si="69">FD39/ER39-1</f>
        <v>9.4006630000753377E-2</v>
      </c>
      <c r="FE40" s="2622">
        <f t="shared" si="69"/>
        <v>6.3662718144642527E-2</v>
      </c>
      <c r="FF40" s="2622">
        <f t="shared" si="69"/>
        <v>-0.5931496622175283</v>
      </c>
      <c r="FG40" s="2622">
        <f t="shared" si="69"/>
        <v>-0.99287037556840507</v>
      </c>
      <c r="FH40" s="2622">
        <f t="shared" si="69"/>
        <v>-0.98794735285418511</v>
      </c>
      <c r="FI40" s="2622">
        <f t="shared" si="69"/>
        <v>-0.97976022566995769</v>
      </c>
      <c r="FJ40" s="2622">
        <f t="shared" si="69"/>
        <v>-0.9524755045097657</v>
      </c>
      <c r="FK40" s="2622">
        <f t="shared" si="69"/>
        <v>-0.92083492648336751</v>
      </c>
      <c r="FL40" s="2622">
        <f t="shared" si="69"/>
        <v>-0.89198836594394504</v>
      </c>
      <c r="FM40" s="2622">
        <f t="shared" si="69"/>
        <v>-0.78688293702025769</v>
      </c>
      <c r="FN40" s="2622">
        <f t="shared" si="69"/>
        <v>-0.78258416400225694</v>
      </c>
      <c r="FO40" s="2622">
        <f t="shared" si="69"/>
        <v>-0.71200161596071965</v>
      </c>
      <c r="FP40" s="2623">
        <f t="shared" si="69"/>
        <v>-0.75488525041750598</v>
      </c>
      <c r="FQ40" s="2623">
        <f t="shared" si="69"/>
        <v>-0.80334999909752181</v>
      </c>
      <c r="FR40" s="2623">
        <f t="shared" si="69"/>
        <v>-0.37631472944546396</v>
      </c>
      <c r="FS40" s="2623">
        <f t="shared" si="69"/>
        <v>33.729658792650916</v>
      </c>
      <c r="FT40" s="2623">
        <f t="shared" si="69"/>
        <v>22.458588957055216</v>
      </c>
      <c r="FU40" s="2623">
        <f t="shared" si="69"/>
        <v>14.786759581881533</v>
      </c>
      <c r="FV40" s="2623">
        <f t="shared" si="69"/>
        <v>7.1971600218459866</v>
      </c>
      <c r="FW40" s="2623">
        <f t="shared" si="69"/>
        <v>5.0329308452250272</v>
      </c>
      <c r="FX40" s="2623">
        <f t="shared" si="69"/>
        <v>3.419478929882847</v>
      </c>
      <c r="FY40" s="2623">
        <f t="shared" si="69"/>
        <v>2.2795462055292433</v>
      </c>
      <c r="FZ40" s="2623">
        <f t="shared" si="69"/>
        <v>2.0475778546712804</v>
      </c>
      <c r="GA40" s="2623">
        <f t="shared" si="69"/>
        <v>1.3183166981386565</v>
      </c>
      <c r="GB40" s="3972">
        <f t="shared" si="69"/>
        <v>1.2079792091030415</v>
      </c>
      <c r="GC40" s="3973">
        <f t="shared" si="69"/>
        <v>2.0628728774667278</v>
      </c>
      <c r="GD40" s="3973">
        <f t="shared" si="69"/>
        <v>1.7357732328668818</v>
      </c>
      <c r="GE40" s="3973">
        <f t="shared" si="69"/>
        <v>2.1621070133010885</v>
      </c>
      <c r="GF40" s="3973">
        <f t="shared" si="69"/>
        <v>1.8608695652173912</v>
      </c>
      <c r="GG40" s="3973">
        <f t="shared" si="69"/>
        <v>0.40001765692592928</v>
      </c>
      <c r="GH40" s="3973">
        <f t="shared" si="69"/>
        <v>0.39999333733093478</v>
      </c>
      <c r="GI40" s="3973">
        <f t="shared" si="69"/>
        <v>0.39999999999999991</v>
      </c>
      <c r="GJ40" s="3973">
        <f t="shared" si="69"/>
        <v>0.39999999999999991</v>
      </c>
      <c r="GK40" s="3973">
        <f t="shared" si="69"/>
        <v>0.38481947942905115</v>
      </c>
      <c r="GL40" s="3973">
        <f t="shared" si="69"/>
        <v>0.37161510076639237</v>
      </c>
      <c r="GM40" s="3974">
        <f t="shared" si="69"/>
        <v>0.22671631370723766</v>
      </c>
      <c r="GN40" s="2624"/>
      <c r="GO40" s="2580">
        <v>0</v>
      </c>
      <c r="GP40" s="2580">
        <v>0</v>
      </c>
      <c r="GQ40" s="2580">
        <v>0</v>
      </c>
      <c r="GR40" s="2580">
        <v>0</v>
      </c>
      <c r="GS40" s="2581">
        <f t="shared" ref="GS40:HX40" si="70">GS39/GO39-1</f>
        <v>0.29654068747807782</v>
      </c>
      <c r="GT40" s="2581">
        <f t="shared" si="70"/>
        <v>0.16287282518641266</v>
      </c>
      <c r="GU40" s="2581">
        <f t="shared" si="70"/>
        <v>3.8791429311237691E-2</v>
      </c>
      <c r="GV40" s="2581">
        <f t="shared" si="70"/>
        <v>5.7017008368004385E-2</v>
      </c>
      <c r="GW40" s="2581">
        <f t="shared" si="70"/>
        <v>-0.12803713034509578</v>
      </c>
      <c r="GX40" s="2581">
        <f t="shared" si="70"/>
        <v>3.9452474462760012E-3</v>
      </c>
      <c r="GY40" s="2581">
        <f t="shared" si="70"/>
        <v>-3.4040100328717182E-3</v>
      </c>
      <c r="GZ40" s="2581">
        <f t="shared" si="70"/>
        <v>4.8912464015353541E-2</v>
      </c>
      <c r="HA40" s="2581">
        <f t="shared" si="70"/>
        <v>0.12927933605452724</v>
      </c>
      <c r="HB40" s="2581">
        <f t="shared" si="70"/>
        <v>1.8424554244655278E-2</v>
      </c>
      <c r="HC40" s="2581">
        <f t="shared" si="70"/>
        <v>-2.1033132459493009E-2</v>
      </c>
      <c r="HD40" s="2581">
        <f t="shared" si="70"/>
        <v>-3.0833608633410448E-3</v>
      </c>
      <c r="HE40" s="2581">
        <f t="shared" si="70"/>
        <v>-3.1071045288688537E-2</v>
      </c>
      <c r="HF40" s="2581">
        <f t="shared" si="70"/>
        <v>6.1050284390324672E-2</v>
      </c>
      <c r="HG40" s="2581">
        <f t="shared" si="70"/>
        <v>2.8471057884231543E-2</v>
      </c>
      <c r="HH40" s="2581">
        <f t="shared" si="70"/>
        <v>5.2689716116204544E-2</v>
      </c>
      <c r="HI40" s="2581">
        <f t="shared" si="70"/>
        <v>1.093428794215634E-2</v>
      </c>
      <c r="HJ40" s="2581">
        <f t="shared" si="70"/>
        <v>7.8758127011230084E-2</v>
      </c>
      <c r="HK40" s="2581">
        <f t="shared" si="70"/>
        <v>0.10333343684014418</v>
      </c>
      <c r="HL40" s="2581">
        <f t="shared" si="70"/>
        <v>0.17710065380579554</v>
      </c>
      <c r="HM40" s="2581">
        <f t="shared" si="70"/>
        <v>0.21253396441405914</v>
      </c>
      <c r="HN40" s="2581">
        <f t="shared" si="70"/>
        <v>0.14748497070238176</v>
      </c>
      <c r="HO40" s="2581">
        <f t="shared" si="70"/>
        <v>0.16947518768425418</v>
      </c>
      <c r="HP40" s="2581">
        <f t="shared" si="70"/>
        <v>0.19032990242129588</v>
      </c>
      <c r="HQ40" s="2581">
        <f t="shared" si="70"/>
        <v>0.1353207361679365</v>
      </c>
      <c r="HR40" s="2581">
        <f t="shared" si="70"/>
        <v>6.4645767983500413E-2</v>
      </c>
      <c r="HS40" s="2581">
        <f t="shared" si="70"/>
        <v>0.11147677090979102</v>
      </c>
      <c r="HT40" s="2581">
        <f t="shared" si="70"/>
        <v>0.15604855202290491</v>
      </c>
      <c r="HU40" s="2581">
        <f t="shared" si="70"/>
        <v>8.8374995224694164E-2</v>
      </c>
      <c r="HV40" s="2581">
        <f t="shared" si="70"/>
        <v>0.10646011249602894</v>
      </c>
      <c r="HW40" s="2581">
        <f t="shared" si="70"/>
        <v>-3.8431767374136006E-2</v>
      </c>
      <c r="HX40" s="2581">
        <f t="shared" si="70"/>
        <v>-6.9809393297620481E-2</v>
      </c>
      <c r="HY40" s="2581">
        <f t="shared" ref="HY40:IZ40" si="71">HY39/HU39-1</f>
        <v>-7.1645859902420783E-2</v>
      </c>
      <c r="HZ40" s="2581">
        <f t="shared" si="71"/>
        <v>-0.16443168383718965</v>
      </c>
      <c r="IA40" s="2581">
        <f t="shared" si="71"/>
        <v>3.14676063790853E-3</v>
      </c>
      <c r="IB40" s="2581">
        <f t="shared" si="71"/>
        <v>-0.10970932039043002</v>
      </c>
      <c r="IC40" s="2581">
        <f t="shared" si="71"/>
        <v>-4.7967433565860751E-2</v>
      </c>
      <c r="ID40" s="2581">
        <f t="shared" si="71"/>
        <v>9.9062133645955397E-2</v>
      </c>
      <c r="IE40" s="2581">
        <f t="shared" si="71"/>
        <v>-6.451667209122236E-2</v>
      </c>
      <c r="IF40" s="2581">
        <f t="shared" si="71"/>
        <v>3.5038841786662056E-2</v>
      </c>
      <c r="IG40" s="2581">
        <f t="shared" si="71"/>
        <v>8.9522700044347703E-2</v>
      </c>
      <c r="IH40" s="2581">
        <f t="shared" si="71"/>
        <v>5.8096551724137857E-2</v>
      </c>
      <c r="II40" s="2581">
        <f t="shared" si="71"/>
        <v>6.5079031822680822E-2</v>
      </c>
      <c r="IJ40" s="2581">
        <f t="shared" si="71"/>
        <v>4.2340561595256121E-2</v>
      </c>
      <c r="IK40" s="2581">
        <f t="shared" si="71"/>
        <v>-2.7386940779081881E-2</v>
      </c>
      <c r="IL40" s="2581">
        <f t="shared" si="71"/>
        <v>3.3794509912979054E-2</v>
      </c>
      <c r="IM40" s="2581">
        <f t="shared" si="71"/>
        <v>5.6247676763125476E-2</v>
      </c>
      <c r="IN40" s="2581">
        <f t="shared" si="71"/>
        <v>-0.10688649305884779</v>
      </c>
      <c r="IO40" s="2581">
        <f t="shared" si="71"/>
        <v>-0.15157780331800919</v>
      </c>
      <c r="IP40" s="2581">
        <f t="shared" si="71"/>
        <v>-0.98616863283548628</v>
      </c>
      <c r="IQ40" s="2581">
        <f t="shared" si="71"/>
        <v>-0.92569091558645844</v>
      </c>
      <c r="IR40" s="2581">
        <f t="shared" si="71"/>
        <v>-0.75535974120865057</v>
      </c>
      <c r="IS40" s="2581">
        <f t="shared" si="71"/>
        <v>-0.71238100847388997</v>
      </c>
      <c r="IT40" s="2581">
        <f t="shared" si="71"/>
        <v>19.737844408427875</v>
      </c>
      <c r="IU40" s="2581">
        <f t="shared" si="71"/>
        <v>4.9395091848450061</v>
      </c>
      <c r="IV40" s="2581">
        <f t="shared" si="71"/>
        <v>1.756292438862511</v>
      </c>
      <c r="IW40" s="2581">
        <f t="shared" si="71"/>
        <v>1.6346532879412292</v>
      </c>
      <c r="IX40" s="2581">
        <f t="shared" si="71"/>
        <v>1.2921396612023992</v>
      </c>
      <c r="IY40" s="2581">
        <f t="shared" si="71"/>
        <v>0.39999758375315619</v>
      </c>
      <c r="IZ40" s="2581">
        <f t="shared" si="71"/>
        <v>0.31759203519333168</v>
      </c>
      <c r="JA40" s="2813"/>
      <c r="JB40" s="3482"/>
      <c r="JC40" s="3483">
        <f t="shared" ref="JC40:JM40" si="72">JC39/JB39-1</f>
        <v>0.12838486261915083</v>
      </c>
      <c r="JD40" s="3483">
        <f t="shared" si="72"/>
        <v>-2.0432705053457179E-2</v>
      </c>
      <c r="JE40" s="3483">
        <f t="shared" si="72"/>
        <v>2.6752406006083973E-2</v>
      </c>
      <c r="JF40" s="3483">
        <f t="shared" si="72"/>
        <v>2.7744448263573362E-2</v>
      </c>
      <c r="JG40" s="3483">
        <f t="shared" si="72"/>
        <v>9.4546737850292883E-2</v>
      </c>
      <c r="JH40" s="3483">
        <f t="shared" si="72"/>
        <v>0.17902065392214572</v>
      </c>
      <c r="JI40" s="3483">
        <f t="shared" si="72"/>
        <v>0.11774554103771639</v>
      </c>
      <c r="JJ40" s="3483">
        <f t="shared" si="72"/>
        <v>1.4028150181717214E-2</v>
      </c>
      <c r="JK40" s="3483">
        <f t="shared" si="72"/>
        <v>-0.11958724997439951</v>
      </c>
      <c r="JL40" s="3483">
        <f t="shared" si="72"/>
        <v>4.0318597381242993E-2</v>
      </c>
      <c r="JM40" s="3483">
        <f t="shared" si="72"/>
        <v>6.2980621229502098E-2</v>
      </c>
      <c r="JN40" s="3483">
        <f>JN39/JM39-1</f>
        <v>-1.0162048143297464E-2</v>
      </c>
      <c r="JO40" s="3484">
        <f>JO39/JN39-1</f>
        <v>-0.72216157205240172</v>
      </c>
      <c r="JP40" s="3484">
        <f>JP39/JO39-1</f>
        <v>0.47214669286182054</v>
      </c>
      <c r="JQ40" s="4681">
        <f>JQ39/JP39-1</f>
        <v>0.70248330937095194</v>
      </c>
      <c r="JS40" s="4674"/>
      <c r="JT40" s="3583"/>
      <c r="JU40" s="2525"/>
      <c r="JV40" s="2566"/>
      <c r="JW40" s="2566"/>
      <c r="JX40" s="2566"/>
      <c r="JY40" s="2566"/>
      <c r="JZ40" s="2566"/>
      <c r="KA40" s="2566"/>
      <c r="KB40" s="2566"/>
      <c r="KC40" s="3076"/>
      <c r="KD40" s="3366"/>
      <c r="KE40" s="2566"/>
      <c r="KF40" s="2566"/>
      <c r="KG40" s="2566"/>
      <c r="KH40" s="2566"/>
      <c r="KI40" s="2566"/>
      <c r="KJ40" s="2566"/>
      <c r="KK40" s="2566"/>
      <c r="KL40" s="708"/>
      <c r="KM40" s="708"/>
      <c r="KN40" s="2525"/>
      <c r="KO40" s="2525"/>
      <c r="KP40" s="2525"/>
      <c r="KQ40" s="2525"/>
      <c r="KR40" s="2525"/>
      <c r="KS40" s="2525"/>
      <c r="KT40" s="2525"/>
      <c r="KU40" s="2525"/>
      <c r="KV40" s="2525"/>
      <c r="KW40" s="2525"/>
      <c r="KX40" s="2525"/>
      <c r="KY40" s="2525"/>
      <c r="KZ40" s="2525"/>
      <c r="LA40" s="2525"/>
      <c r="LB40" s="2525"/>
      <c r="LC40" s="2525"/>
      <c r="LD40" s="2525"/>
      <c r="LE40" s="2525"/>
      <c r="LF40" s="2525"/>
      <c r="LG40" s="2525"/>
      <c r="LH40" s="2525"/>
      <c r="LI40" s="2525"/>
      <c r="LJ40" s="2525"/>
      <c r="LK40" s="2525"/>
      <c r="LL40" s="2525"/>
      <c r="LM40" s="2525"/>
      <c r="LN40" s="2525"/>
      <c r="LO40" s="2525"/>
      <c r="LP40" s="2525"/>
      <c r="LQ40" s="2525"/>
      <c r="LR40" s="2525"/>
    </row>
    <row r="41" spans="1:330" ht="21" customHeight="1">
      <c r="A41" s="3485"/>
      <c r="B41" s="3485"/>
      <c r="C41" s="3485"/>
      <c r="D41" s="3485"/>
      <c r="E41" s="3485"/>
      <c r="F41" s="3485"/>
      <c r="G41" s="3485"/>
      <c r="H41" s="3485"/>
      <c r="I41" s="3485"/>
      <c r="J41" s="3485"/>
      <c r="K41" s="3485"/>
      <c r="L41" s="3485"/>
      <c r="M41" s="3485"/>
      <c r="N41" s="3485"/>
      <c r="O41" s="3485"/>
      <c r="P41" s="3485"/>
      <c r="Q41" s="3485"/>
      <c r="R41" s="3485"/>
      <c r="S41" s="3485"/>
      <c r="T41" s="3485"/>
      <c r="U41" s="3485"/>
      <c r="V41" s="3485"/>
      <c r="W41" s="3485"/>
      <c r="X41" s="3485"/>
      <c r="Y41" s="3485"/>
      <c r="Z41" s="3485"/>
      <c r="AA41" s="3485"/>
      <c r="AB41" s="3485"/>
      <c r="AC41" s="3485"/>
      <c r="AD41" s="3485"/>
      <c r="AE41" s="3485"/>
      <c r="AF41" s="3485"/>
      <c r="AG41" s="3485"/>
      <c r="AH41" s="3485"/>
      <c r="AI41" s="3485"/>
      <c r="AJ41" s="3485"/>
      <c r="AK41" s="3485"/>
      <c r="AL41" s="3485"/>
      <c r="AM41" s="3485"/>
      <c r="AN41" s="3485"/>
      <c r="AO41" s="3485"/>
      <c r="AP41" s="3485"/>
      <c r="AQ41" s="3485"/>
      <c r="AR41" s="3485"/>
      <c r="AS41" s="3485"/>
      <c r="AT41" s="3485"/>
      <c r="AU41" s="3485"/>
      <c r="AV41" s="3485"/>
      <c r="AW41" s="3485"/>
      <c r="AX41" s="3485"/>
      <c r="AY41" s="3485"/>
      <c r="AZ41" s="3485"/>
      <c r="BA41" s="3485"/>
      <c r="BB41" s="3485"/>
      <c r="BC41" s="3485"/>
      <c r="BD41" s="3485"/>
      <c r="BE41" s="3485"/>
      <c r="BF41" s="3485"/>
      <c r="BG41" s="3485"/>
      <c r="BH41" s="3485"/>
      <c r="BI41" s="3485"/>
      <c r="BJ41" s="3485"/>
      <c r="BK41" s="3485"/>
      <c r="BL41" s="3485"/>
      <c r="BM41" s="3485"/>
      <c r="BN41" s="3485"/>
      <c r="BO41" s="3485"/>
      <c r="BP41" s="3485"/>
      <c r="BQ41" s="3485"/>
      <c r="BR41" s="3485"/>
      <c r="BS41" s="3485"/>
      <c r="BT41" s="3485"/>
      <c r="BU41" s="3485"/>
      <c r="BV41" s="3485"/>
      <c r="BW41" s="3485"/>
      <c r="BX41" s="3485"/>
      <c r="BY41" s="3485"/>
      <c r="BZ41" s="3485"/>
      <c r="CA41" s="3485"/>
      <c r="CB41" s="3485"/>
      <c r="CC41" s="3485"/>
      <c r="CD41" s="3485"/>
      <c r="CE41" s="3485"/>
      <c r="CF41" s="3485"/>
      <c r="CG41" s="3485"/>
      <c r="CH41" s="3485"/>
      <c r="CI41" s="3485"/>
      <c r="CJ41" s="3485"/>
      <c r="CK41" s="3485"/>
      <c r="CL41" s="3485"/>
      <c r="CM41" s="3485"/>
      <c r="CN41" s="3485"/>
      <c r="CO41" s="3485"/>
      <c r="CP41" s="3485"/>
      <c r="CQ41" s="3485"/>
      <c r="CR41" s="3485"/>
      <c r="CS41" s="3485"/>
      <c r="CT41" s="3485"/>
      <c r="CU41" s="3485"/>
      <c r="CV41" s="3485"/>
      <c r="CW41" s="3485"/>
      <c r="CX41" s="3485"/>
      <c r="CY41" s="3485"/>
      <c r="CZ41" s="3485"/>
      <c r="DA41" s="3485"/>
      <c r="DB41" s="3485"/>
      <c r="DC41" s="3485"/>
      <c r="DD41" s="3485"/>
      <c r="DE41" s="3485"/>
      <c r="DF41" s="3485"/>
      <c r="DG41" s="3485"/>
      <c r="DH41" s="3486"/>
      <c r="DI41" s="3486"/>
      <c r="DJ41" s="3486"/>
      <c r="DK41" s="3486"/>
      <c r="DL41" s="3486"/>
      <c r="DM41" s="3486"/>
      <c r="DN41" s="3486"/>
      <c r="DO41" s="3486"/>
      <c r="DP41" s="3486"/>
      <c r="DQ41" s="3486"/>
      <c r="DR41" s="3486"/>
      <c r="DS41" s="3486"/>
      <c r="DT41" s="3486"/>
      <c r="DU41" s="3486"/>
      <c r="DV41" s="3486"/>
      <c r="DW41" s="3486"/>
      <c r="DX41" s="3486"/>
      <c r="DY41" s="3486"/>
      <c r="DZ41" s="3486"/>
      <c r="EA41" s="3486"/>
      <c r="EB41" s="3486"/>
      <c r="EC41" s="3486"/>
      <c r="ED41" s="3486"/>
      <c r="EE41" s="3486"/>
      <c r="EF41" s="3487"/>
      <c r="EG41" s="3488"/>
      <c r="EH41" s="3488"/>
      <c r="EI41" s="3488"/>
      <c r="EJ41" s="3488"/>
      <c r="EK41" s="3488"/>
      <c r="EL41" s="3488"/>
      <c r="EM41" s="3488"/>
      <c r="EN41" s="3488"/>
      <c r="EO41" s="3488"/>
      <c r="EP41" s="3488"/>
      <c r="EQ41" s="3488"/>
      <c r="ER41" s="3487"/>
      <c r="ES41" s="3488"/>
      <c r="ET41" s="3488"/>
      <c r="EU41" s="3488"/>
      <c r="EV41" s="3488"/>
      <c r="EW41" s="3488"/>
      <c r="EX41" s="3488"/>
      <c r="EY41" s="3488"/>
      <c r="EZ41" s="3488"/>
      <c r="FA41" s="3488"/>
      <c r="FB41" s="3488"/>
      <c r="FC41" s="3489"/>
      <c r="FD41" s="2582"/>
      <c r="FE41" s="2582"/>
      <c r="FF41" s="2582"/>
      <c r="FG41" s="2582"/>
      <c r="FH41" s="2582"/>
      <c r="FI41" s="2582"/>
      <c r="FJ41" s="2582"/>
      <c r="FK41" s="2582"/>
      <c r="FL41" s="2582"/>
      <c r="FM41" s="2582"/>
      <c r="FN41" s="2582"/>
      <c r="FO41" s="2582"/>
      <c r="FP41" s="2583"/>
      <c r="FQ41" s="2583"/>
      <c r="FR41" s="2583"/>
      <c r="FS41" s="2583"/>
      <c r="FT41" s="2583"/>
      <c r="FU41" s="2583"/>
      <c r="FV41" s="2583"/>
      <c r="FW41" s="2583"/>
      <c r="FX41" s="2583"/>
      <c r="FY41" s="2583"/>
      <c r="FZ41" s="2583"/>
      <c r="GA41" s="2583"/>
      <c r="GB41" s="2583"/>
      <c r="GC41" s="2583"/>
      <c r="GD41" s="2583"/>
      <c r="GE41" s="2583"/>
      <c r="GF41" s="2583"/>
      <c r="GG41" s="2583"/>
      <c r="GH41" s="2583"/>
      <c r="GI41" s="2583"/>
      <c r="GJ41" s="2583"/>
      <c r="GK41" s="2583"/>
      <c r="GL41" s="2583"/>
      <c r="GM41" s="2583"/>
      <c r="GN41" s="2584"/>
      <c r="GO41" s="2584"/>
      <c r="GP41" s="2584"/>
      <c r="GQ41" s="2584"/>
      <c r="GR41" s="2584"/>
      <c r="GS41" s="2584"/>
      <c r="GT41" s="2584"/>
      <c r="GU41" s="2584"/>
      <c r="GV41" s="2584"/>
      <c r="GW41" s="2584"/>
      <c r="GX41" s="2584"/>
      <c r="GY41" s="2584"/>
      <c r="GZ41" s="2584"/>
      <c r="HA41" s="2584"/>
      <c r="HB41" s="2584"/>
      <c r="HC41" s="2584"/>
      <c r="HD41" s="2584"/>
      <c r="HE41" s="2584"/>
      <c r="HF41" s="2584"/>
      <c r="HG41" s="2584"/>
      <c r="HH41" s="2584"/>
      <c r="HI41" s="2584"/>
      <c r="HJ41" s="2584"/>
      <c r="HK41" s="2584"/>
      <c r="HL41" s="2584"/>
      <c r="HM41" s="2584"/>
      <c r="HN41" s="2584"/>
      <c r="HO41" s="2584"/>
      <c r="HP41" s="2584"/>
      <c r="HQ41" s="2584"/>
      <c r="HR41" s="2584"/>
      <c r="HS41" s="2584"/>
      <c r="HT41" s="2584"/>
      <c r="HU41" s="2584"/>
      <c r="HV41" s="2584"/>
      <c r="HW41" s="2584"/>
      <c r="HX41" s="2584"/>
      <c r="HY41" s="2584"/>
      <c r="HZ41" s="2584"/>
      <c r="IA41" s="2584"/>
      <c r="IB41" s="2584"/>
      <c r="IC41" s="2584"/>
      <c r="ID41" s="2584"/>
      <c r="IE41" s="2584"/>
      <c r="IF41" s="2584"/>
      <c r="IG41" s="2584"/>
      <c r="IH41" s="2584"/>
      <c r="II41" s="2584"/>
      <c r="IJ41" s="2584"/>
      <c r="IK41" s="2584"/>
      <c r="IL41" s="2584"/>
      <c r="IM41" s="2584"/>
      <c r="IN41" s="2584"/>
      <c r="IO41" s="2584"/>
      <c r="IP41" s="2584"/>
      <c r="IQ41" s="2584"/>
      <c r="IR41" s="2584"/>
      <c r="IS41" s="2584"/>
      <c r="IT41" s="2584"/>
      <c r="IU41" s="2584"/>
      <c r="IV41" s="2584"/>
      <c r="IW41" s="2584"/>
      <c r="IX41" s="2584"/>
      <c r="IY41" s="2584"/>
      <c r="IZ41" s="2584"/>
      <c r="JA41" s="2584"/>
      <c r="JB41" s="3490"/>
      <c r="JC41" s="3490"/>
      <c r="JD41" s="3490"/>
      <c r="JE41" s="3490"/>
      <c r="JF41" s="3490"/>
      <c r="JG41" s="3490"/>
      <c r="JH41" s="3490"/>
      <c r="JI41" s="3490"/>
      <c r="JJ41" s="3490"/>
      <c r="JK41" s="3491"/>
      <c r="JL41" s="3491"/>
      <c r="JM41" s="3491"/>
      <c r="JN41" s="3491"/>
      <c r="JO41" s="3492"/>
      <c r="JP41" s="3492"/>
      <c r="JQ41" s="3492"/>
      <c r="JS41" s="4674"/>
      <c r="JT41" s="3583"/>
      <c r="JU41" s="2525"/>
      <c r="JV41" s="2566"/>
      <c r="JW41" s="2566"/>
      <c r="JX41" s="2566"/>
      <c r="JY41" s="2566"/>
      <c r="JZ41" s="2566"/>
      <c r="KA41" s="2566"/>
      <c r="KB41" s="2566"/>
      <c r="KC41" s="3076"/>
      <c r="KD41" s="2566"/>
      <c r="KE41" s="2566"/>
      <c r="KF41" s="2566"/>
      <c r="KG41" s="2566"/>
      <c r="KH41" s="2566"/>
      <c r="KI41" s="2566"/>
      <c r="KJ41" s="2566"/>
      <c r="KK41" s="2566"/>
      <c r="KL41" s="708"/>
      <c r="KM41" s="708"/>
      <c r="KN41" s="2525"/>
      <c r="KO41" s="2525"/>
      <c r="KP41" s="2525"/>
      <c r="KQ41" s="2525"/>
      <c r="KR41" s="2525"/>
      <c r="KS41" s="2525"/>
      <c r="KT41" s="2525"/>
      <c r="KU41" s="2525"/>
      <c r="KV41" s="2525"/>
      <c r="KW41" s="2525"/>
      <c r="KX41" s="2525"/>
      <c r="KY41" s="2525"/>
      <c r="KZ41" s="2525"/>
      <c r="LA41" s="2525"/>
      <c r="LB41" s="2525"/>
      <c r="LC41" s="2525"/>
      <c r="LD41" s="2525"/>
      <c r="LE41" s="2525"/>
      <c r="LF41" s="2525"/>
      <c r="LG41" s="2525"/>
      <c r="LH41" s="2525"/>
      <c r="LI41" s="2525"/>
      <c r="LJ41" s="2525"/>
      <c r="LK41" s="2525"/>
      <c r="LL41" s="2525"/>
      <c r="LM41" s="2525"/>
      <c r="LN41" s="2525"/>
      <c r="LO41" s="2525"/>
      <c r="LP41" s="2525"/>
      <c r="LQ41" s="2525"/>
      <c r="LR41" s="2525"/>
    </row>
    <row r="42" spans="1:330" ht="29.4" thickBot="1">
      <c r="A42" s="3494"/>
      <c r="B42" s="3494"/>
      <c r="C42" s="3495" t="s">
        <v>1092</v>
      </c>
      <c r="D42" s="3496"/>
      <c r="E42" s="3496"/>
      <c r="F42" s="3496"/>
      <c r="G42" s="3496"/>
      <c r="H42" s="3496"/>
      <c r="I42" s="3496"/>
      <c r="J42" s="3496"/>
      <c r="K42" s="3496"/>
      <c r="L42" s="3496"/>
      <c r="M42" s="3496"/>
      <c r="N42" s="3496"/>
      <c r="O42" s="3496"/>
      <c r="P42" s="3496"/>
      <c r="Q42" s="3496"/>
      <c r="R42" s="3496"/>
      <c r="S42" s="3496"/>
      <c r="T42" s="3496"/>
      <c r="U42" s="3496"/>
      <c r="V42" s="3496"/>
      <c r="W42" s="3496"/>
      <c r="X42" s="3496"/>
      <c r="Y42" s="3496"/>
      <c r="Z42" s="3496"/>
      <c r="AA42" s="3496"/>
      <c r="AB42" s="3496"/>
      <c r="AC42" s="3496"/>
      <c r="AD42" s="3496"/>
      <c r="AE42" s="3496"/>
      <c r="AF42" s="3496"/>
      <c r="AG42" s="3496"/>
      <c r="AH42" s="3496"/>
      <c r="AI42" s="3496"/>
      <c r="AJ42" s="3496"/>
      <c r="AK42" s="3496"/>
      <c r="AL42" s="3496"/>
      <c r="AM42" s="3496"/>
      <c r="AN42" s="3496"/>
      <c r="AO42" s="3496"/>
      <c r="AP42" s="3496"/>
      <c r="AQ42" s="3496"/>
      <c r="AR42" s="3496"/>
      <c r="AS42" s="3496"/>
      <c r="AT42" s="3496"/>
      <c r="AU42" s="3496"/>
      <c r="AV42" s="3496"/>
      <c r="AW42" s="3496"/>
      <c r="AX42" s="3496"/>
      <c r="AY42" s="3496"/>
      <c r="AZ42" s="3496"/>
      <c r="BA42" s="3496"/>
      <c r="BB42" s="3496"/>
      <c r="BC42" s="3496"/>
      <c r="BD42" s="3496"/>
      <c r="BE42" s="3496"/>
      <c r="BF42" s="3496"/>
      <c r="BG42" s="3496"/>
      <c r="BH42" s="3496"/>
      <c r="BI42" s="3496"/>
      <c r="BJ42" s="3496"/>
      <c r="BK42" s="3496"/>
      <c r="BL42" s="3496"/>
      <c r="BM42" s="3496"/>
      <c r="BN42" s="3496"/>
      <c r="BO42" s="3496"/>
      <c r="BP42" s="3496"/>
      <c r="BQ42" s="3496"/>
      <c r="BR42" s="3496"/>
      <c r="BS42" s="3496"/>
      <c r="BT42" s="3496"/>
      <c r="BU42" s="3496"/>
      <c r="BV42" s="3496"/>
      <c r="BW42" s="3496"/>
      <c r="BX42" s="3496"/>
      <c r="BY42" s="3496"/>
      <c r="BZ42" s="3496"/>
      <c r="CA42" s="3496"/>
      <c r="CB42" s="3496"/>
      <c r="CC42" s="3496"/>
      <c r="CD42" s="3496"/>
      <c r="CE42" s="3496"/>
      <c r="CF42" s="3496"/>
      <c r="CG42" s="3496"/>
      <c r="CH42" s="3496"/>
      <c r="CI42" s="3496"/>
      <c r="CJ42" s="3496"/>
      <c r="CK42" s="3496"/>
      <c r="CL42" s="3496"/>
      <c r="CM42" s="3496"/>
      <c r="CN42" s="3496"/>
      <c r="CO42" s="3496"/>
      <c r="CP42" s="3496"/>
      <c r="CQ42" s="3496"/>
      <c r="CR42" s="3496"/>
      <c r="CS42" s="3496"/>
      <c r="CT42" s="3496"/>
      <c r="CU42" s="3496"/>
      <c r="CV42" s="3496"/>
      <c r="CW42" s="3496"/>
      <c r="CX42" s="3496"/>
      <c r="CY42" s="3496"/>
      <c r="CZ42" s="3496"/>
      <c r="DA42" s="3496"/>
      <c r="DB42" s="3496"/>
      <c r="DC42" s="3496"/>
      <c r="DD42" s="3496"/>
      <c r="DE42" s="3496"/>
      <c r="DF42" s="3496"/>
      <c r="DG42" s="3496"/>
      <c r="DH42" s="3497"/>
      <c r="DI42" s="3497"/>
      <c r="DJ42" s="3497"/>
      <c r="DK42" s="3497"/>
      <c r="DL42" s="3497"/>
      <c r="DM42" s="3497"/>
      <c r="DN42" s="3497"/>
      <c r="DO42" s="3497"/>
      <c r="DP42" s="3498" t="s">
        <v>1106</v>
      </c>
      <c r="DQ42" s="3497"/>
      <c r="DR42" s="3497"/>
      <c r="DS42" s="3497"/>
      <c r="DT42" s="3497"/>
      <c r="DU42" s="3497"/>
      <c r="DV42" s="3497"/>
      <c r="DW42" s="3497"/>
      <c r="DX42" s="3497"/>
      <c r="DY42" s="3497"/>
      <c r="DZ42" s="3497"/>
      <c r="EA42" s="3497"/>
      <c r="EB42" s="3497"/>
      <c r="EC42" s="3497"/>
      <c r="ED42" s="3497"/>
      <c r="EE42" s="3497"/>
      <c r="EF42" s="3499"/>
      <c r="EG42" s="3497"/>
      <c r="EH42" s="3497"/>
      <c r="EI42" s="3497"/>
      <c r="EJ42" s="3497"/>
      <c r="EK42" s="3497"/>
      <c r="EL42" s="3497"/>
      <c r="EM42" s="3497"/>
      <c r="EN42" s="3497"/>
      <c r="EO42" s="3497"/>
      <c r="EP42" s="3497"/>
      <c r="EQ42" s="3497"/>
      <c r="ER42" s="3499">
        <f>ER39-'Llegadas '!N4</f>
        <v>114</v>
      </c>
      <c r="ES42" s="3497">
        <f>ES39-'Llegadas '!N5</f>
        <v>143</v>
      </c>
      <c r="ET42" s="3497">
        <f>ET39-'Llegadas '!N6</f>
        <v>247</v>
      </c>
      <c r="EU42" s="3497">
        <f>EU39-'Llegadas '!N7</f>
        <v>128</v>
      </c>
      <c r="EV42" s="3497">
        <f>EV39-'Llegadas '!N8</f>
        <v>104</v>
      </c>
      <c r="EW42" s="3497">
        <f>EW39-'Llegadas '!N9</f>
        <v>167</v>
      </c>
      <c r="EX42" s="3497">
        <f>EX39-'Llegadas '!N10</f>
        <v>137</v>
      </c>
      <c r="EY42" s="3497">
        <f>EY39-'Llegadas '!N11</f>
        <v>127</v>
      </c>
      <c r="EZ42" s="3497">
        <f>EZ39-'Llegadas '!N12</f>
        <v>142</v>
      </c>
      <c r="FA42" s="3497">
        <f>FA39-'Llegadas '!N13</f>
        <v>175</v>
      </c>
      <c r="FB42" s="3497">
        <f>FB39-'Llegadas '!N14</f>
        <v>177</v>
      </c>
      <c r="FC42" s="3500">
        <f>FC39-'Llegadas '!N15</f>
        <v>150</v>
      </c>
      <c r="FD42" s="3501">
        <f>FD39-'Llegadas '!O4</f>
        <v>283</v>
      </c>
      <c r="FE42" s="3501">
        <f>FE39-'Llegadas '!O5</f>
        <v>504</v>
      </c>
      <c r="FF42" s="3501">
        <f>FF39-'Llegadas '!O6</f>
        <v>137</v>
      </c>
      <c r="FG42" s="3501">
        <f>FG39-'Llegadas '!O7</f>
        <v>2</v>
      </c>
      <c r="FH42" s="3501">
        <f>FH39-'Llegadas '!O8</f>
        <v>2</v>
      </c>
      <c r="FI42" s="3501">
        <f>FI39-'Llegadas '!O9</f>
        <v>4</v>
      </c>
      <c r="FJ42" s="3501">
        <f>FJ39-'Llegadas '!O10</f>
        <v>7</v>
      </c>
      <c r="FK42" s="3501">
        <f>FK39-'Llegadas '!O11</f>
        <v>2</v>
      </c>
      <c r="FL42" s="3501">
        <f>FL39-'Llegadas '!O12</f>
        <v>11</v>
      </c>
      <c r="FM42" s="3501">
        <f>FM39-'Llegadas '!O13</f>
        <v>16</v>
      </c>
      <c r="FN42" s="3501">
        <f>FN39-'Llegadas '!O14</f>
        <v>7</v>
      </c>
      <c r="FO42" s="3501">
        <f>FO39-'Llegadas '!O15</f>
        <v>15</v>
      </c>
      <c r="FP42" s="3502">
        <f>FP39-'Llegadas '!P4</f>
        <v>0</v>
      </c>
      <c r="FQ42" s="3502">
        <f>FQ39-'Llegadas '!P5</f>
        <v>0</v>
      </c>
      <c r="FR42" s="3502">
        <f>FR39-'Llegadas '!P6</f>
        <v>0</v>
      </c>
      <c r="FS42" s="3502">
        <f>FS39-'Llegadas '!P7</f>
        <v>0</v>
      </c>
      <c r="FT42" s="3502">
        <f>FT39-'Llegadas '!P8</f>
        <v>0</v>
      </c>
      <c r="FU42" s="3502">
        <f>FU39-'Llegadas '!P9</f>
        <v>0</v>
      </c>
      <c r="FV42" s="3502">
        <f>FV39-'Llegadas '!P10</f>
        <v>0</v>
      </c>
      <c r="FW42" s="3502">
        <f>FW39-'Llegadas '!P11</f>
        <v>0</v>
      </c>
      <c r="FX42" s="3502">
        <f>FX39-'Llegadas '!P12</f>
        <v>0</v>
      </c>
      <c r="FY42" s="3502">
        <f>FY39-'Llegadas '!P13</f>
        <v>0</v>
      </c>
      <c r="FZ42" s="3502">
        <f>FZ39-'Llegadas '!P14</f>
        <v>0</v>
      </c>
      <c r="GA42" s="3502">
        <f>GA39-'Llegadas '!P15</f>
        <v>0</v>
      </c>
      <c r="GB42" s="3502"/>
      <c r="GC42" s="3502"/>
      <c r="GD42" s="3502"/>
      <c r="GE42" s="3502"/>
      <c r="GF42" s="3502"/>
      <c r="GG42" s="3502"/>
      <c r="GH42" s="3502"/>
      <c r="GI42" s="3502"/>
      <c r="GJ42" s="3502"/>
      <c r="GK42" s="3502"/>
      <c r="GL42" s="3502"/>
      <c r="GM42" s="3502"/>
      <c r="GN42" s="3503"/>
      <c r="GO42" s="3504"/>
      <c r="GP42" s="3496"/>
      <c r="GQ42" s="3496"/>
      <c r="GR42" s="3496"/>
      <c r="GS42" s="3496"/>
      <c r="GT42" s="3496"/>
      <c r="GU42" s="3496"/>
      <c r="GV42" s="3496"/>
      <c r="GW42" s="3496"/>
      <c r="GX42" s="3496"/>
      <c r="GY42" s="3496"/>
      <c r="GZ42" s="3496"/>
      <c r="HA42" s="3496"/>
      <c r="HB42" s="3496"/>
      <c r="HC42" s="3496"/>
      <c r="HD42" s="3496"/>
      <c r="HE42" s="3496"/>
      <c r="HF42" s="3496"/>
      <c r="HG42" s="3496"/>
      <c r="HH42" s="3496"/>
      <c r="HI42" s="3496"/>
      <c r="HJ42" s="3504"/>
      <c r="HK42" s="3504"/>
      <c r="HL42" s="3504"/>
      <c r="HM42" s="3504"/>
      <c r="HN42" s="3504"/>
      <c r="HO42" s="3504"/>
      <c r="HP42" s="3504"/>
      <c r="HQ42" s="3504"/>
      <c r="HR42" s="3504"/>
      <c r="HS42" s="3504"/>
      <c r="HT42" s="3504"/>
      <c r="HU42" s="3504"/>
      <c r="HV42" s="3504"/>
      <c r="HW42" s="3504"/>
      <c r="HX42" s="3504"/>
      <c r="HY42" s="3505"/>
      <c r="HZ42" s="3505"/>
      <c r="IA42" s="3505"/>
      <c r="IB42" s="3505"/>
      <c r="IC42" s="3505"/>
      <c r="ID42" s="3505"/>
      <c r="IE42" s="3505"/>
      <c r="IF42" s="3504"/>
      <c r="IG42" s="3504"/>
      <c r="IH42" s="3504"/>
      <c r="II42" s="3504"/>
      <c r="IJ42" s="3504"/>
      <c r="IK42" s="3504"/>
      <c r="IL42" s="3504"/>
      <c r="IM42" s="3504"/>
      <c r="IN42" s="3504"/>
      <c r="IO42" s="3503"/>
      <c r="IP42" s="3504"/>
      <c r="IQ42" s="3504"/>
      <c r="IR42" s="3504"/>
      <c r="IS42" s="3504"/>
      <c r="IT42" s="3504"/>
      <c r="IU42" s="3504"/>
      <c r="IV42" s="3504"/>
      <c r="IW42" s="3504"/>
      <c r="IX42" s="3504"/>
      <c r="IY42" s="3504"/>
      <c r="IZ42" s="3504"/>
      <c r="JA42" s="3496"/>
      <c r="JB42" s="3496">
        <f>SUM(JB6:JB38)</f>
        <v>417853</v>
      </c>
      <c r="JC42" s="3496">
        <f>SUM(JC6:JC38)</f>
        <v>471499</v>
      </c>
      <c r="JD42" s="3496">
        <f>SUM(JD6:JD38)</f>
        <v>469070.5</v>
      </c>
      <c r="JE42" s="3496">
        <f t="shared" ref="JE42:JL42" si="73">SUM(JE6:JE38)</f>
        <v>474221</v>
      </c>
      <c r="JF42" s="3496">
        <f t="shared" si="73"/>
        <v>487378</v>
      </c>
      <c r="JG42" s="3496">
        <f t="shared" si="73"/>
        <v>533458</v>
      </c>
      <c r="JH42" s="3496">
        <f t="shared" si="73"/>
        <v>628958</v>
      </c>
      <c r="JI42" s="3496">
        <f t="shared" si="73"/>
        <v>703015</v>
      </c>
      <c r="JJ42" s="3496">
        <f t="shared" si="73"/>
        <v>712877</v>
      </c>
      <c r="JK42" s="3496">
        <f t="shared" si="73"/>
        <v>627626</v>
      </c>
      <c r="JL42" s="3496">
        <f t="shared" si="73"/>
        <v>652931</v>
      </c>
      <c r="JM42" s="3496">
        <f>SUM(JM6:JM38)</f>
        <v>694053</v>
      </c>
      <c r="JN42" s="3978">
        <f>'Llegadas '!N16-SUM(JN6:JN38)</f>
        <v>-2610</v>
      </c>
      <c r="JO42" s="3978">
        <f>'Llegadas '!O16-SUM(JO6:JO38)</f>
        <v>-458</v>
      </c>
      <c r="JP42" s="3978">
        <f>'Llegadas '!P16-SUM(JP6:JP38)</f>
        <v>0</v>
      </c>
      <c r="JQ42" s="3978">
        <f>'Llegadas '!Q16-SUM(JQ6:JQ38)</f>
        <v>0</v>
      </c>
      <c r="JS42" s="4675"/>
      <c r="JT42" s="3584"/>
      <c r="JU42" s="3503"/>
      <c r="JV42" s="3507"/>
      <c r="JW42" s="3507"/>
      <c r="JX42" s="3507"/>
      <c r="JY42" s="3507"/>
      <c r="JZ42" s="3507"/>
      <c r="KA42" s="3503"/>
      <c r="KB42" s="3503"/>
      <c r="KC42" s="3507"/>
      <c r="KD42" s="3507"/>
      <c r="KE42" s="3507"/>
      <c r="KF42" s="3507"/>
      <c r="KG42" s="3507"/>
      <c r="KH42" s="3507"/>
      <c r="KI42" s="3507"/>
      <c r="KJ42" s="3507"/>
      <c r="KK42" s="3507"/>
      <c r="KL42" s="3503"/>
      <c r="KM42" s="3503"/>
      <c r="KN42" s="3503"/>
      <c r="KO42" s="3503"/>
      <c r="KP42" s="3503"/>
      <c r="KQ42" s="3503"/>
      <c r="KR42" s="3503"/>
      <c r="KS42" s="3503"/>
      <c r="KT42" s="3503"/>
      <c r="KU42" s="3503"/>
      <c r="KV42" s="3503"/>
      <c r="KW42" s="3503"/>
      <c r="KX42" s="3503"/>
      <c r="KY42" s="3503"/>
      <c r="KZ42" s="3503"/>
      <c r="LA42" s="3503"/>
      <c r="LB42" s="3503"/>
      <c r="LC42" s="3503"/>
      <c r="LD42" s="3503"/>
      <c r="LE42" s="3503"/>
      <c r="LF42" s="3503"/>
      <c r="LG42" s="3503"/>
      <c r="LH42" s="3503"/>
      <c r="LI42" s="3503"/>
      <c r="LJ42" s="3503"/>
      <c r="LK42" s="3503"/>
      <c r="LL42" s="3503"/>
      <c r="LM42" s="3503"/>
      <c r="LN42" s="3503"/>
      <c r="LO42" s="3503"/>
      <c r="LP42" s="3503"/>
      <c r="LQ42" s="3503"/>
      <c r="LR42" s="3503"/>
    </row>
    <row r="43" spans="1:330" ht="15" thickBot="1">
      <c r="A43" s="3372"/>
      <c r="B43" s="3328"/>
      <c r="C43" s="3508" t="s">
        <v>1482</v>
      </c>
      <c r="D43" s="3509">
        <f t="shared" ref="D43:AI43" si="74">D6+D7+D8+D9+D10+D11+D12+D13+D14+D15+D16+D18+D19+D20+D21++D25+D30+D33</f>
        <v>25223</v>
      </c>
      <c r="E43" s="3510">
        <f t="shared" si="74"/>
        <v>25575</v>
      </c>
      <c r="F43" s="3510">
        <f t="shared" si="74"/>
        <v>28529</v>
      </c>
      <c r="G43" s="3510">
        <f t="shared" si="74"/>
        <v>23319</v>
      </c>
      <c r="H43" s="3510">
        <f t="shared" si="74"/>
        <v>25215</v>
      </c>
      <c r="I43" s="3510">
        <f t="shared" si="74"/>
        <v>37095</v>
      </c>
      <c r="J43" s="3510">
        <f t="shared" si="74"/>
        <v>43127</v>
      </c>
      <c r="K43" s="3510">
        <f t="shared" si="74"/>
        <v>36568</v>
      </c>
      <c r="L43" s="3510">
        <f t="shared" si="74"/>
        <v>26032</v>
      </c>
      <c r="M43" s="3510">
        <f t="shared" si="74"/>
        <v>28031</v>
      </c>
      <c r="N43" s="3510">
        <f t="shared" si="74"/>
        <v>30467</v>
      </c>
      <c r="O43" s="3511">
        <f t="shared" si="74"/>
        <v>32274</v>
      </c>
      <c r="P43" s="3512">
        <f t="shared" si="74"/>
        <v>29871</v>
      </c>
      <c r="Q43" s="3513">
        <f t="shared" si="74"/>
        <v>39436</v>
      </c>
      <c r="R43" s="3513">
        <f t="shared" si="74"/>
        <v>31587</v>
      </c>
      <c r="S43" s="3513">
        <f t="shared" si="74"/>
        <v>26201</v>
      </c>
      <c r="T43" s="3513">
        <f t="shared" si="74"/>
        <v>30740</v>
      </c>
      <c r="U43" s="3513">
        <f t="shared" si="74"/>
        <v>40181</v>
      </c>
      <c r="V43" s="3513">
        <f t="shared" si="74"/>
        <v>42208</v>
      </c>
      <c r="W43" s="3513">
        <f t="shared" si="74"/>
        <v>36240</v>
      </c>
      <c r="X43" s="3513">
        <f t="shared" si="74"/>
        <v>27538</v>
      </c>
      <c r="Y43" s="3513">
        <f t="shared" si="74"/>
        <v>30018</v>
      </c>
      <c r="Z43" s="3513">
        <f t="shared" si="74"/>
        <v>31075</v>
      </c>
      <c r="AA43" s="3514">
        <f t="shared" si="74"/>
        <v>31119</v>
      </c>
      <c r="AB43" s="3515">
        <f t="shared" si="74"/>
        <v>29538</v>
      </c>
      <c r="AC43" s="3516">
        <f t="shared" si="74"/>
        <v>27409</v>
      </c>
      <c r="AD43" s="3516">
        <f t="shared" si="74"/>
        <v>27968</v>
      </c>
      <c r="AE43" s="3516">
        <f t="shared" si="74"/>
        <v>26393</v>
      </c>
      <c r="AF43" s="3516">
        <f t="shared" si="74"/>
        <v>33078.5</v>
      </c>
      <c r="AG43" s="3516">
        <f t="shared" si="74"/>
        <v>39764</v>
      </c>
      <c r="AH43" s="3516">
        <f t="shared" si="74"/>
        <v>40525</v>
      </c>
      <c r="AI43" s="3516">
        <f t="shared" si="74"/>
        <v>36328</v>
      </c>
      <c r="AJ43" s="3516">
        <f t="shared" ref="AJ43:BO43" si="75">AJ6+AJ7+AJ8+AJ9+AJ10+AJ11+AJ12+AJ13+AJ14+AJ15+AJ16+AJ18+AJ19+AJ20+AJ21++AJ25+AJ30+AJ33</f>
        <v>26540</v>
      </c>
      <c r="AK43" s="3516">
        <f t="shared" si="75"/>
        <v>28612</v>
      </c>
      <c r="AL43" s="3516">
        <f t="shared" si="75"/>
        <v>31163</v>
      </c>
      <c r="AM43" s="3516">
        <f t="shared" si="75"/>
        <v>36967</v>
      </c>
      <c r="AN43" s="3517">
        <f t="shared" si="75"/>
        <v>31497</v>
      </c>
      <c r="AO43" s="3517">
        <f t="shared" si="75"/>
        <v>33059</v>
      </c>
      <c r="AP43" s="3517">
        <f t="shared" si="75"/>
        <v>31226</v>
      </c>
      <c r="AQ43" s="3517">
        <f t="shared" si="75"/>
        <v>25375</v>
      </c>
      <c r="AR43" s="3517">
        <f t="shared" si="75"/>
        <v>31224</v>
      </c>
      <c r="AS43" s="3517">
        <f t="shared" si="75"/>
        <v>39677</v>
      </c>
      <c r="AT43" s="3517">
        <f t="shared" si="75"/>
        <v>41304</v>
      </c>
      <c r="AU43" s="3517">
        <f t="shared" si="75"/>
        <v>35234</v>
      </c>
      <c r="AV43" s="3517">
        <f t="shared" si="75"/>
        <v>26878</v>
      </c>
      <c r="AW43" s="3517">
        <f t="shared" si="75"/>
        <v>30192</v>
      </c>
      <c r="AX43" s="3517">
        <f t="shared" si="75"/>
        <v>30952</v>
      </c>
      <c r="AY43" s="3518">
        <f t="shared" si="75"/>
        <v>34737</v>
      </c>
      <c r="AZ43" s="3519">
        <f t="shared" si="75"/>
        <v>31054</v>
      </c>
      <c r="BA43" s="3520">
        <f t="shared" si="75"/>
        <v>30185</v>
      </c>
      <c r="BB43" s="3520">
        <f t="shared" si="75"/>
        <v>33003</v>
      </c>
      <c r="BC43" s="3520">
        <f t="shared" si="75"/>
        <v>29803</v>
      </c>
      <c r="BD43" s="3520">
        <f t="shared" si="75"/>
        <v>32422</v>
      </c>
      <c r="BE43" s="3520">
        <f t="shared" si="75"/>
        <v>42021</v>
      </c>
      <c r="BF43" s="3520">
        <f t="shared" si="75"/>
        <v>43385</v>
      </c>
      <c r="BG43" s="3520">
        <f t="shared" si="75"/>
        <v>36171</v>
      </c>
      <c r="BH43" s="3520">
        <f t="shared" si="75"/>
        <v>28547</v>
      </c>
      <c r="BI43" s="3520">
        <f t="shared" si="75"/>
        <v>31450</v>
      </c>
      <c r="BJ43" s="3520">
        <f t="shared" si="75"/>
        <v>33596</v>
      </c>
      <c r="BK43" s="3521">
        <f t="shared" si="75"/>
        <v>37697</v>
      </c>
      <c r="BL43" s="3522">
        <f t="shared" si="75"/>
        <v>31735</v>
      </c>
      <c r="BM43" s="3523">
        <f t="shared" si="75"/>
        <v>30414</v>
      </c>
      <c r="BN43" s="3523">
        <f t="shared" si="75"/>
        <v>34869</v>
      </c>
      <c r="BO43" s="3523">
        <f t="shared" si="75"/>
        <v>30389</v>
      </c>
      <c r="BP43" s="3523">
        <f t="shared" ref="BP43:CU43" si="76">BP6+BP7+BP8+BP9+BP10+BP11+BP12+BP13+BP14+BP15+BP16+BP18+BP19+BP20+BP21++BP25+BP30+BP33</f>
        <v>34466</v>
      </c>
      <c r="BQ43" s="3523">
        <f t="shared" si="76"/>
        <v>46627</v>
      </c>
      <c r="BR43" s="3523">
        <f t="shared" si="76"/>
        <v>46948</v>
      </c>
      <c r="BS43" s="3523">
        <f t="shared" si="76"/>
        <v>38644</v>
      </c>
      <c r="BT43" s="3524">
        <f t="shared" si="76"/>
        <v>32439</v>
      </c>
      <c r="BU43" s="3524">
        <f t="shared" si="76"/>
        <v>36780</v>
      </c>
      <c r="BV43" s="3524">
        <f t="shared" si="76"/>
        <v>38152</v>
      </c>
      <c r="BW43" s="3525">
        <f t="shared" si="76"/>
        <v>46617</v>
      </c>
      <c r="BX43" s="3526">
        <f t="shared" si="76"/>
        <v>38561</v>
      </c>
      <c r="BY43" s="3527">
        <f t="shared" si="76"/>
        <v>36966</v>
      </c>
      <c r="BZ43" s="3527">
        <f t="shared" si="76"/>
        <v>40684</v>
      </c>
      <c r="CA43" s="3527">
        <f t="shared" si="76"/>
        <v>33908</v>
      </c>
      <c r="CB43" s="3527">
        <f t="shared" si="76"/>
        <v>40529</v>
      </c>
      <c r="CC43" s="3527">
        <f t="shared" si="76"/>
        <v>52589</v>
      </c>
      <c r="CD43" s="3527">
        <f t="shared" si="76"/>
        <v>54069</v>
      </c>
      <c r="CE43" s="3527">
        <f t="shared" si="76"/>
        <v>44019</v>
      </c>
      <c r="CF43" s="3527">
        <f t="shared" si="76"/>
        <v>40913</v>
      </c>
      <c r="CG43" s="3527">
        <f t="shared" si="76"/>
        <v>43755</v>
      </c>
      <c r="CH43" s="3527">
        <f t="shared" si="76"/>
        <v>46361</v>
      </c>
      <c r="CI43" s="3528">
        <f t="shared" si="76"/>
        <v>53482</v>
      </c>
      <c r="CJ43" s="3529">
        <f t="shared" si="76"/>
        <v>44823</v>
      </c>
      <c r="CK43" s="3530">
        <f t="shared" si="76"/>
        <v>45898</v>
      </c>
      <c r="CL43" s="3530">
        <f t="shared" si="76"/>
        <v>43976</v>
      </c>
      <c r="CM43" s="3530">
        <f t="shared" si="76"/>
        <v>40675</v>
      </c>
      <c r="CN43" s="3530">
        <f t="shared" si="76"/>
        <v>43359</v>
      </c>
      <c r="CO43" s="3530">
        <f t="shared" si="76"/>
        <v>50508</v>
      </c>
      <c r="CP43" s="3530">
        <f t="shared" si="76"/>
        <v>59022</v>
      </c>
      <c r="CQ43" s="3530">
        <f t="shared" si="76"/>
        <v>47308</v>
      </c>
      <c r="CR43" s="3530">
        <f t="shared" si="76"/>
        <v>44357</v>
      </c>
      <c r="CS43" s="3530">
        <f t="shared" si="76"/>
        <v>46870</v>
      </c>
      <c r="CT43" s="3530">
        <f t="shared" si="76"/>
        <v>49675</v>
      </c>
      <c r="CU43" s="3531">
        <f t="shared" si="76"/>
        <v>63922</v>
      </c>
      <c r="CV43" s="3532">
        <f t="shared" ref="CV43:EA43" si="77">CV6+CV7+CV8+CV9+CV10+CV11+CV12+CV13+CV14+CV15+CV16+CV18+CV19+CV20+CV21++CV25+CV30+CV33</f>
        <v>45886</v>
      </c>
      <c r="CW43" s="3533">
        <f t="shared" si="77"/>
        <v>41889</v>
      </c>
      <c r="CX43" s="3534">
        <f t="shared" si="77"/>
        <v>46178</v>
      </c>
      <c r="CY43" s="3534">
        <f t="shared" si="77"/>
        <v>40587</v>
      </c>
      <c r="CZ43" s="3534">
        <f t="shared" si="77"/>
        <v>43709</v>
      </c>
      <c r="DA43" s="3534">
        <f t="shared" si="77"/>
        <v>54164</v>
      </c>
      <c r="DB43" s="3534">
        <f t="shared" si="77"/>
        <v>58111</v>
      </c>
      <c r="DC43" s="3534">
        <f t="shared" si="77"/>
        <v>42213</v>
      </c>
      <c r="DD43" s="3535">
        <f t="shared" si="77"/>
        <v>38295</v>
      </c>
      <c r="DE43" s="3535">
        <f t="shared" si="77"/>
        <v>43082</v>
      </c>
      <c r="DF43" s="3536">
        <f t="shared" si="77"/>
        <v>44444</v>
      </c>
      <c r="DG43" s="3536">
        <f t="shared" si="77"/>
        <v>56700</v>
      </c>
      <c r="DH43" s="3537">
        <f t="shared" si="77"/>
        <v>44510</v>
      </c>
      <c r="DI43" s="3538">
        <f t="shared" si="77"/>
        <v>42725</v>
      </c>
      <c r="DJ43" s="3538">
        <f t="shared" si="77"/>
        <v>46769</v>
      </c>
      <c r="DK43" s="3538">
        <f t="shared" si="77"/>
        <v>34898</v>
      </c>
      <c r="DL43" s="3538">
        <f t="shared" si="77"/>
        <v>39845</v>
      </c>
      <c r="DM43" s="3538">
        <f t="shared" si="77"/>
        <v>54495</v>
      </c>
      <c r="DN43" s="3538">
        <f t="shared" si="77"/>
        <v>56875</v>
      </c>
      <c r="DO43" s="3538">
        <f t="shared" si="77"/>
        <v>40664</v>
      </c>
      <c r="DP43" s="3538">
        <f t="shared" si="77"/>
        <v>32651</v>
      </c>
      <c r="DQ43" s="3538">
        <f t="shared" si="77"/>
        <v>42121</v>
      </c>
      <c r="DR43" s="3538">
        <f t="shared" si="77"/>
        <v>40102</v>
      </c>
      <c r="DS43" s="3539">
        <f t="shared" si="77"/>
        <v>55562</v>
      </c>
      <c r="DT43" s="3540">
        <f t="shared" si="77"/>
        <v>42539</v>
      </c>
      <c r="DU43" s="3541">
        <f t="shared" si="77"/>
        <v>40236</v>
      </c>
      <c r="DV43" s="3541">
        <f t="shared" si="77"/>
        <v>45260</v>
      </c>
      <c r="DW43" s="3541">
        <f t="shared" si="77"/>
        <v>41780</v>
      </c>
      <c r="DX43" s="3541">
        <f t="shared" si="77"/>
        <v>39545</v>
      </c>
      <c r="DY43" s="3541">
        <f t="shared" si="77"/>
        <v>57437</v>
      </c>
      <c r="DZ43" s="3541">
        <f t="shared" si="77"/>
        <v>59137</v>
      </c>
      <c r="EA43" s="3541">
        <f t="shared" si="77"/>
        <v>42564</v>
      </c>
      <c r="EB43" s="3541">
        <f t="shared" ref="EB43:FC43" si="78">EB6+EB7+EB8+EB9+EB10+EB11+EB12+EB13+EB14+EB15+EB16+EB18+EB19+EB20+EB21++EB25+EB30+EB33</f>
        <v>36952</v>
      </c>
      <c r="EC43" s="3541">
        <f t="shared" si="78"/>
        <v>40853</v>
      </c>
      <c r="ED43" s="3541">
        <f t="shared" si="78"/>
        <v>42917</v>
      </c>
      <c r="EE43" s="3542">
        <f t="shared" si="78"/>
        <v>60551</v>
      </c>
      <c r="EF43" s="3543">
        <f t="shared" si="78"/>
        <v>44549</v>
      </c>
      <c r="EG43" s="3543">
        <f t="shared" si="78"/>
        <v>44308</v>
      </c>
      <c r="EH43" s="3543">
        <f t="shared" si="78"/>
        <v>49426</v>
      </c>
      <c r="EI43" s="3543">
        <f t="shared" si="78"/>
        <v>39021</v>
      </c>
      <c r="EJ43" s="3543">
        <f t="shared" si="78"/>
        <v>45549</v>
      </c>
      <c r="EK43" s="3543">
        <f t="shared" si="78"/>
        <v>61329</v>
      </c>
      <c r="EL43" s="3543">
        <f t="shared" si="78"/>
        <v>61035</v>
      </c>
      <c r="EM43" s="3543">
        <f t="shared" si="78"/>
        <v>45323</v>
      </c>
      <c r="EN43" s="3543">
        <f t="shared" si="78"/>
        <v>40910</v>
      </c>
      <c r="EO43" s="3543">
        <f t="shared" si="78"/>
        <v>43322</v>
      </c>
      <c r="EP43" s="3543">
        <f t="shared" si="78"/>
        <v>44417</v>
      </c>
      <c r="EQ43" s="3543">
        <f t="shared" si="78"/>
        <v>61487</v>
      </c>
      <c r="ER43" s="3544">
        <f t="shared" si="78"/>
        <v>44090</v>
      </c>
      <c r="ES43" s="3545">
        <f t="shared" si="78"/>
        <v>43328</v>
      </c>
      <c r="ET43" s="3545">
        <f t="shared" si="78"/>
        <v>45456</v>
      </c>
      <c r="EU43" s="3545">
        <f t="shared" si="78"/>
        <v>43183</v>
      </c>
      <c r="EV43" s="3545">
        <f t="shared" si="78"/>
        <v>44957</v>
      </c>
      <c r="EW43" s="3545">
        <f t="shared" si="78"/>
        <v>57774</v>
      </c>
      <c r="EX43" s="3545">
        <f t="shared" si="78"/>
        <v>61253</v>
      </c>
      <c r="EY43" s="3545">
        <f t="shared" si="78"/>
        <v>49034</v>
      </c>
      <c r="EZ43" s="3545">
        <f t="shared" si="78"/>
        <v>42505</v>
      </c>
      <c r="FA43" s="3545">
        <f t="shared" si="78"/>
        <v>34520</v>
      </c>
      <c r="FB43" s="3545">
        <f t="shared" si="78"/>
        <v>43420</v>
      </c>
      <c r="FC43" s="3546">
        <f t="shared" si="78"/>
        <v>54336</v>
      </c>
      <c r="FD43" s="2814">
        <f>FD7+FD8+FD9+FD10+FD11+FD12+FD13+FD14+FD16+FD18+FD19+FD21</f>
        <v>43270</v>
      </c>
      <c r="FE43" s="2814">
        <f t="shared" ref="FE43:IB43" si="79">FE7+FE8+FE9+FE10+FE11+FE12+FE13+FE14+FE16+FE18+FE19+FE21</f>
        <v>42138</v>
      </c>
      <c r="FF43" s="2814">
        <f t="shared" si="79"/>
        <v>16866</v>
      </c>
      <c r="FG43" s="2814">
        <f t="shared" si="79"/>
        <v>237</v>
      </c>
      <c r="FH43" s="2814">
        <f t="shared" si="79"/>
        <v>365</v>
      </c>
      <c r="FI43" s="2814">
        <f t="shared" si="79"/>
        <v>930</v>
      </c>
      <c r="FJ43" s="2814">
        <f t="shared" si="79"/>
        <v>2880</v>
      </c>
      <c r="FK43" s="2814">
        <f t="shared" si="79"/>
        <v>3603</v>
      </c>
      <c r="FL43" s="2814">
        <f t="shared" si="79"/>
        <v>4796</v>
      </c>
      <c r="FM43" s="2814">
        <f t="shared" si="79"/>
        <v>7690</v>
      </c>
      <c r="FN43" s="2814">
        <f t="shared" si="79"/>
        <v>9532</v>
      </c>
      <c r="FO43" s="2814">
        <f t="shared" si="79"/>
        <v>15204</v>
      </c>
      <c r="FP43" s="2814">
        <f t="shared" si="79"/>
        <v>11220</v>
      </c>
      <c r="FQ43" s="2814">
        <f t="shared" si="79"/>
        <v>8929</v>
      </c>
      <c r="FR43" s="2814">
        <f t="shared" si="79"/>
        <v>11623</v>
      </c>
      <c r="FS43" s="2814">
        <f t="shared" si="79"/>
        <v>10846</v>
      </c>
      <c r="FT43" s="2814">
        <f t="shared" si="79"/>
        <v>13044</v>
      </c>
      <c r="FU43" s="2814">
        <f t="shared" si="79"/>
        <v>19378</v>
      </c>
      <c r="FV43" s="2814">
        <f t="shared" si="79"/>
        <v>25330</v>
      </c>
      <c r="FW43" s="2814">
        <f t="shared" si="79"/>
        <v>23130</v>
      </c>
      <c r="FX43" s="2814">
        <f t="shared" si="79"/>
        <v>20609</v>
      </c>
      <c r="FY43" s="2814">
        <f t="shared" si="79"/>
        <v>24117</v>
      </c>
      <c r="FZ43" s="2814">
        <f t="shared" si="79"/>
        <v>28228</v>
      </c>
      <c r="GA43" s="2814">
        <f t="shared" si="79"/>
        <v>35749</v>
      </c>
      <c r="GB43" s="2814">
        <f t="shared" ref="GB43:GM43" si="80">GB7+GB8+GB9+GB10+GB11+GB12+GB13+GB14+GB16+GB18+GB19+GB21</f>
        <v>24878</v>
      </c>
      <c r="GC43" s="2814">
        <f t="shared" si="80"/>
        <v>26387</v>
      </c>
      <c r="GD43" s="2814">
        <f t="shared" si="80"/>
        <v>30213</v>
      </c>
      <c r="GE43" s="2814">
        <f t="shared" si="80"/>
        <v>32461</v>
      </c>
      <c r="GF43" s="2814">
        <f t="shared" si="80"/>
        <v>34920</v>
      </c>
      <c r="GG43" s="2814">
        <f t="shared" si="80"/>
        <v>0</v>
      </c>
      <c r="GH43" s="2814">
        <f t="shared" si="80"/>
        <v>0</v>
      </c>
      <c r="GI43" s="2814">
        <f t="shared" si="80"/>
        <v>0</v>
      </c>
      <c r="GJ43" s="2814">
        <f t="shared" si="80"/>
        <v>0</v>
      </c>
      <c r="GK43" s="2814">
        <f t="shared" si="80"/>
        <v>0</v>
      </c>
      <c r="GL43" s="2814">
        <f t="shared" si="80"/>
        <v>0</v>
      </c>
      <c r="GM43" s="2814">
        <f t="shared" si="80"/>
        <v>0</v>
      </c>
      <c r="GN43" s="2815">
        <f t="shared" si="79"/>
        <v>0</v>
      </c>
      <c r="GO43" s="2816">
        <f t="shared" si="79"/>
        <v>58682</v>
      </c>
      <c r="GP43" s="2816">
        <f t="shared" si="79"/>
        <v>63503</v>
      </c>
      <c r="GQ43" s="2816">
        <f t="shared" si="79"/>
        <v>79147</v>
      </c>
      <c r="GR43" s="2816">
        <f t="shared" si="79"/>
        <v>68647</v>
      </c>
      <c r="GS43" s="2816">
        <f t="shared" si="79"/>
        <v>80367</v>
      </c>
      <c r="GT43" s="2816">
        <f t="shared" si="79"/>
        <v>79992</v>
      </c>
      <c r="GU43" s="2816">
        <f t="shared" si="79"/>
        <v>89883</v>
      </c>
      <c r="GV43" s="2816">
        <f t="shared" si="79"/>
        <v>77419</v>
      </c>
      <c r="GW43" s="2816">
        <f t="shared" si="79"/>
        <v>71191</v>
      </c>
      <c r="GX43" s="2816">
        <f t="shared" si="79"/>
        <v>84081</v>
      </c>
      <c r="GY43" s="2816">
        <f t="shared" si="79"/>
        <v>82706</v>
      </c>
      <c r="GZ43" s="2816">
        <f t="shared" si="79"/>
        <v>74642</v>
      </c>
      <c r="HA43" s="2816">
        <f t="shared" si="79"/>
        <v>75791</v>
      </c>
      <c r="HB43" s="2816">
        <f t="shared" si="79"/>
        <v>77733</v>
      </c>
      <c r="HC43" s="2816">
        <f t="shared" si="79"/>
        <v>82440</v>
      </c>
      <c r="HD43" s="2816">
        <f t="shared" si="79"/>
        <v>74779</v>
      </c>
      <c r="HE43" s="2816">
        <f t="shared" si="79"/>
        <v>75640</v>
      </c>
      <c r="HF43" s="2816">
        <f t="shared" si="79"/>
        <v>84794</v>
      </c>
      <c r="HG43" s="2816">
        <f t="shared" si="79"/>
        <v>88858</v>
      </c>
      <c r="HH43" s="2816">
        <f t="shared" si="79"/>
        <v>84425</v>
      </c>
      <c r="HI43" s="2816">
        <f t="shared" si="79"/>
        <v>76858</v>
      </c>
      <c r="HJ43" s="2816">
        <f t="shared" si="79"/>
        <v>95593</v>
      </c>
      <c r="HK43" s="2816">
        <f t="shared" si="79"/>
        <v>101602</v>
      </c>
      <c r="HL43" s="2816">
        <f t="shared" si="79"/>
        <v>101210</v>
      </c>
      <c r="HM43" s="2816">
        <f t="shared" si="79"/>
        <v>95985</v>
      </c>
      <c r="HN43" s="2816">
        <f t="shared" si="79"/>
        <v>105593</v>
      </c>
      <c r="HO43" s="2816">
        <f t="shared" si="79"/>
        <v>115546</v>
      </c>
      <c r="HP43" s="2816">
        <f t="shared" si="79"/>
        <v>117240</v>
      </c>
      <c r="HQ43" s="2816">
        <f t="shared" si="79"/>
        <v>109164</v>
      </c>
      <c r="HR43" s="2816">
        <f t="shared" si="79"/>
        <v>113196</v>
      </c>
      <c r="HS43" s="2816">
        <f t="shared" si="79"/>
        <v>125646</v>
      </c>
      <c r="HT43" s="2816">
        <f t="shared" si="79"/>
        <v>129910</v>
      </c>
      <c r="HU43" s="2816">
        <f t="shared" si="79"/>
        <v>106219</v>
      </c>
      <c r="HV43" s="2816">
        <f t="shared" si="79"/>
        <v>111360</v>
      </c>
      <c r="HW43" s="2816">
        <f t="shared" si="79"/>
        <v>108303</v>
      </c>
      <c r="HX43" s="2816">
        <f t="shared" si="79"/>
        <v>109679</v>
      </c>
      <c r="HY43" s="2816">
        <f t="shared" si="79"/>
        <v>102815</v>
      </c>
      <c r="HZ43" s="2816">
        <f t="shared" si="79"/>
        <v>102206</v>
      </c>
      <c r="IA43" s="2816">
        <f t="shared" si="79"/>
        <v>109972</v>
      </c>
      <c r="IB43" s="2816">
        <f t="shared" si="79"/>
        <v>92991</v>
      </c>
      <c r="IC43" s="2816">
        <f t="shared" ref="IC43:JJ43" si="81">IC7+IC8+IC9+IC10+IC11+IC12+IC13+IC14+IC16+IC18+IC19+IC21</f>
        <v>89551</v>
      </c>
      <c r="ID43" s="2816">
        <f t="shared" si="81"/>
        <v>96184</v>
      </c>
      <c r="IE43" s="2816">
        <f t="shared" si="81"/>
        <v>92151</v>
      </c>
      <c r="IF43" s="2816">
        <f t="shared" si="81"/>
        <v>89840</v>
      </c>
      <c r="IG43" s="2816">
        <f t="shared" si="81"/>
        <v>94106</v>
      </c>
      <c r="IH43" s="2816">
        <f t="shared" si="81"/>
        <v>99924</v>
      </c>
      <c r="II43" s="2816">
        <f t="shared" si="81"/>
        <v>95987</v>
      </c>
      <c r="IJ43" s="2816">
        <f t="shared" si="81"/>
        <v>92308</v>
      </c>
      <c r="IK43" s="2816">
        <f t="shared" si="81"/>
        <v>89778</v>
      </c>
      <c r="IL43" s="2816">
        <f t="shared" si="81"/>
        <v>116249</v>
      </c>
      <c r="IM43" s="2816">
        <f t="shared" si="81"/>
        <v>138901</v>
      </c>
      <c r="IN43" s="2816">
        <f t="shared" si="81"/>
        <v>120786</v>
      </c>
      <c r="IO43" s="2816">
        <f t="shared" si="81"/>
        <v>102274</v>
      </c>
      <c r="IP43" s="2816">
        <f t="shared" si="81"/>
        <v>1532</v>
      </c>
      <c r="IQ43" s="2816">
        <f t="shared" si="81"/>
        <v>130448</v>
      </c>
      <c r="IR43" s="2816">
        <f t="shared" si="81"/>
        <v>32426</v>
      </c>
      <c r="IS43" s="2816">
        <f t="shared" si="81"/>
        <v>31772</v>
      </c>
      <c r="IT43" s="2816">
        <f t="shared" si="81"/>
        <v>43268</v>
      </c>
      <c r="IU43" s="2816">
        <f t="shared" si="81"/>
        <v>69069</v>
      </c>
      <c r="IV43" s="2816">
        <f t="shared" si="81"/>
        <v>88094</v>
      </c>
      <c r="IW43" s="2816">
        <f>IW7+IW8+IW9+IW10+IW11+IW12+IW13+IW14+IW16+IW18+IW19+IW21</f>
        <v>81478</v>
      </c>
      <c r="IX43" s="2816">
        <f>IX7+IX8+IX9+IX10+IX11+IX12+IX13+IX14+IX16+IX18+IX19+IX21</f>
        <v>67381</v>
      </c>
      <c r="IY43" s="2816">
        <f>IY7+IY8+IY9+IY10+IY11+IY12+IY13+IY14+IY16+IY18+IY19+IY21</f>
        <v>0</v>
      </c>
      <c r="IZ43" s="2816">
        <f>IZ7+IZ8+IZ9+IZ10+IZ11+IZ12+IZ13+IZ14+IZ16+IZ18+IZ19+IZ21</f>
        <v>0</v>
      </c>
      <c r="JA43" s="2816">
        <f t="shared" si="81"/>
        <v>0</v>
      </c>
      <c r="JB43" s="3547">
        <f t="shared" si="81"/>
        <v>269979</v>
      </c>
      <c r="JC43" s="3547">
        <f t="shared" si="81"/>
        <v>327661</v>
      </c>
      <c r="JD43" s="3547">
        <f t="shared" si="81"/>
        <v>312620</v>
      </c>
      <c r="JE43" s="3547">
        <f t="shared" si="81"/>
        <v>310743</v>
      </c>
      <c r="JF43" s="3547">
        <f t="shared" si="81"/>
        <v>333717</v>
      </c>
      <c r="JG43" s="3547">
        <f t="shared" si="81"/>
        <v>375263</v>
      </c>
      <c r="JH43" s="3547">
        <f t="shared" si="81"/>
        <v>434364</v>
      </c>
      <c r="JI43" s="3547">
        <f t="shared" si="81"/>
        <v>477916</v>
      </c>
      <c r="JJ43" s="3547">
        <f t="shared" si="81"/>
        <v>435561</v>
      </c>
      <c r="JK43" s="3548">
        <f>JK7+JK8+JK9+JK10+JK11+JK12+JK13+JK14+JK16+JK18+JK19+JK21+JK22+JK25</f>
        <v>429616</v>
      </c>
      <c r="JL43" s="3548">
        <f t="shared" ref="JL43:JS43" si="82">JL7+JL8+JL9+JL10+JL11+JL12+JL13+JL14+JL16+JL18+JL19+JL21+JL22+JL25</f>
        <v>394893</v>
      </c>
      <c r="JM43" s="3548">
        <f t="shared" si="82"/>
        <v>412410</v>
      </c>
      <c r="JN43" s="3548">
        <f t="shared" si="82"/>
        <v>498104</v>
      </c>
      <c r="JO43" s="3548">
        <f t="shared" si="82"/>
        <v>156333</v>
      </c>
      <c r="JP43" s="3548">
        <f t="shared" si="82"/>
        <v>238053</v>
      </c>
      <c r="JQ43" s="3550">
        <f>JQ7+JQ8+JQ9+JQ10+JQ11+JQ12+JQ13+JQ14+JQ16+JQ18+JQ19+JQ21+JQ22+JQ25</f>
        <v>338851</v>
      </c>
      <c r="JS43" s="4676">
        <f t="shared" si="82"/>
        <v>20783</v>
      </c>
      <c r="JT43" s="3549">
        <f>JT7+JT8+JT9+JT10+JT11+JT12+JT13+JT14+JT16+JT18+JT19+JT21+JT22+JT25</f>
        <v>157745</v>
      </c>
      <c r="JU43" s="2525"/>
      <c r="JV43" s="2566"/>
      <c r="JW43" s="2566"/>
      <c r="JX43" s="2566"/>
      <c r="JY43" s="2566"/>
      <c r="JZ43" s="2566"/>
      <c r="KA43" s="2566"/>
      <c r="KB43" s="2566"/>
      <c r="KC43" s="3076"/>
      <c r="KD43" s="2566"/>
      <c r="KE43" s="2566"/>
      <c r="KF43" s="2566"/>
      <c r="KG43" s="2566"/>
      <c r="KH43" s="2566"/>
      <c r="KI43" s="2566"/>
      <c r="KJ43" s="2566"/>
      <c r="KK43" s="2566"/>
      <c r="KL43" s="708"/>
      <c r="KM43" s="708"/>
      <c r="KN43" s="3551"/>
      <c r="KO43" s="3551"/>
      <c r="KP43" s="3551"/>
      <c r="KQ43" s="3551"/>
      <c r="KR43" s="3551"/>
      <c r="KS43" s="3551"/>
      <c r="KT43" s="3551"/>
      <c r="KU43" s="3551"/>
      <c r="KV43" s="3551"/>
      <c r="KW43" s="3551"/>
      <c r="KX43" s="3551"/>
      <c r="KY43" s="3551"/>
      <c r="KZ43" s="3551"/>
      <c r="LA43" s="3551"/>
      <c r="LB43" s="3551"/>
      <c r="LC43" s="3551"/>
      <c r="LD43" s="3551"/>
      <c r="LE43" s="3551"/>
      <c r="LF43" s="3551"/>
      <c r="LG43" s="3551"/>
      <c r="LH43" s="3551"/>
      <c r="LI43" s="3551"/>
      <c r="LJ43" s="3551"/>
      <c r="LK43" s="2525"/>
      <c r="LL43" s="2525"/>
      <c r="LM43" s="2525"/>
      <c r="LN43" s="2525"/>
      <c r="LO43" s="2525"/>
      <c r="LP43" s="2525"/>
      <c r="LQ43" s="2525"/>
      <c r="LR43" s="2525"/>
    </row>
    <row r="44" spans="1:330" ht="15" thickBot="1">
      <c r="A44" s="3372"/>
      <c r="B44" s="3328"/>
      <c r="C44" s="3508" t="s">
        <v>1521</v>
      </c>
      <c r="D44" s="3552"/>
      <c r="E44" s="3552"/>
      <c r="F44" s="3552"/>
      <c r="G44" s="3552"/>
      <c r="H44" s="3552"/>
      <c r="I44" s="3552"/>
      <c r="J44" s="3552"/>
      <c r="K44" s="3552"/>
      <c r="L44" s="3552"/>
      <c r="M44" s="3552"/>
      <c r="N44" s="3552"/>
      <c r="O44" s="3552"/>
      <c r="P44" s="3553"/>
      <c r="Q44" s="3553"/>
      <c r="R44" s="3553"/>
      <c r="S44" s="3553"/>
      <c r="T44" s="3553"/>
      <c r="U44" s="3553"/>
      <c r="V44" s="3553"/>
      <c r="W44" s="3553"/>
      <c r="X44" s="3553"/>
      <c r="Y44" s="3553"/>
      <c r="Z44" s="3553"/>
      <c r="AA44" s="3553"/>
      <c r="AB44" s="3554"/>
      <c r="AC44" s="3554"/>
      <c r="AD44" s="3554"/>
      <c r="AE44" s="3554"/>
      <c r="AF44" s="3554"/>
      <c r="AG44" s="3554"/>
      <c r="AH44" s="3554"/>
      <c r="AI44" s="3554"/>
      <c r="AJ44" s="3554"/>
      <c r="AK44" s="3554"/>
      <c r="AL44" s="3554"/>
      <c r="AM44" s="3554"/>
      <c r="AN44" s="3555"/>
      <c r="AO44" s="3555"/>
      <c r="AP44" s="3555"/>
      <c r="AQ44" s="3555"/>
      <c r="AR44" s="3555"/>
      <c r="AS44" s="3555"/>
      <c r="AT44" s="3555"/>
      <c r="AU44" s="3555"/>
      <c r="AV44" s="3555"/>
      <c r="AW44" s="3555"/>
      <c r="AX44" s="3555"/>
      <c r="AY44" s="3555"/>
      <c r="AZ44" s="3556"/>
      <c r="BA44" s="3556"/>
      <c r="BB44" s="3556"/>
      <c r="BC44" s="3556"/>
      <c r="BD44" s="3556"/>
      <c r="BE44" s="3556"/>
      <c r="BF44" s="3556"/>
      <c r="BG44" s="3556"/>
      <c r="BH44" s="3556"/>
      <c r="BI44" s="3556"/>
      <c r="BJ44" s="3556"/>
      <c r="BK44" s="3556"/>
      <c r="BL44" s="3557"/>
      <c r="BM44" s="3557"/>
      <c r="BN44" s="3557"/>
      <c r="BO44" s="3557"/>
      <c r="BP44" s="3557"/>
      <c r="BQ44" s="3557"/>
      <c r="BR44" s="3557"/>
      <c r="BS44" s="3557"/>
      <c r="BT44" s="3557"/>
      <c r="BU44" s="3557"/>
      <c r="BV44" s="3557"/>
      <c r="BW44" s="3557"/>
      <c r="BX44" s="3556"/>
      <c r="BY44" s="3556"/>
      <c r="BZ44" s="3556"/>
      <c r="CA44" s="3556"/>
      <c r="CB44" s="3556"/>
      <c r="CC44" s="3556"/>
      <c r="CD44" s="3556"/>
      <c r="CE44" s="3556"/>
      <c r="CF44" s="3556"/>
      <c r="CG44" s="3556"/>
      <c r="CH44" s="3556"/>
      <c r="CI44" s="3556"/>
      <c r="CJ44" s="3558"/>
      <c r="CK44" s="3558"/>
      <c r="CL44" s="3558"/>
      <c r="CM44" s="3558"/>
      <c r="CN44" s="3558"/>
      <c r="CO44" s="3558"/>
      <c r="CP44" s="3558"/>
      <c r="CQ44" s="3558"/>
      <c r="CR44" s="3558"/>
      <c r="CS44" s="3558"/>
      <c r="CT44" s="3558"/>
      <c r="CU44" s="3558"/>
      <c r="CV44" s="3552"/>
      <c r="CW44" s="3552"/>
      <c r="CX44" s="3552"/>
      <c r="CY44" s="3552"/>
      <c r="CZ44" s="3552"/>
      <c r="DA44" s="3552"/>
      <c r="DB44" s="3552"/>
      <c r="DC44" s="3552"/>
      <c r="DD44" s="3552"/>
      <c r="DE44" s="3552"/>
      <c r="DF44" s="3552"/>
      <c r="DG44" s="3552"/>
      <c r="DH44" s="3559"/>
      <c r="DI44" s="3559"/>
      <c r="DJ44" s="3559"/>
      <c r="DK44" s="3559"/>
      <c r="DL44" s="3559"/>
      <c r="DM44" s="3559"/>
      <c r="DN44" s="3559"/>
      <c r="DO44" s="3559"/>
      <c r="DP44" s="3559"/>
      <c r="DQ44" s="3559"/>
      <c r="DR44" s="3559"/>
      <c r="DS44" s="3559"/>
      <c r="DT44" s="3560"/>
      <c r="DU44" s="3560"/>
      <c r="DV44" s="3560"/>
      <c r="DW44" s="3560"/>
      <c r="DX44" s="3560"/>
      <c r="DY44" s="3560"/>
      <c r="DZ44" s="3560"/>
      <c r="EA44" s="3560"/>
      <c r="EB44" s="3560"/>
      <c r="EC44" s="3560"/>
      <c r="ED44" s="3560"/>
      <c r="EE44" s="3560"/>
      <c r="EF44" s="3543"/>
      <c r="EG44" s="3543"/>
      <c r="EH44" s="3543"/>
      <c r="EI44" s="3543"/>
      <c r="EJ44" s="3543"/>
      <c r="EK44" s="3543"/>
      <c r="EL44" s="3543"/>
      <c r="EM44" s="3543"/>
      <c r="EN44" s="3543"/>
      <c r="EO44" s="3543"/>
      <c r="EP44" s="3543"/>
      <c r="EQ44" s="3543"/>
      <c r="ER44" s="3561"/>
      <c r="ES44" s="3562"/>
      <c r="ET44" s="3562"/>
      <c r="EU44" s="3562"/>
      <c r="EV44" s="3562"/>
      <c r="EW44" s="3562"/>
      <c r="EX44" s="3562"/>
      <c r="EY44" s="3562"/>
      <c r="EZ44" s="3562"/>
      <c r="FA44" s="3562"/>
      <c r="FB44" s="3562"/>
      <c r="FC44" s="3563"/>
      <c r="FD44" s="3034">
        <f>FD39-FD43</f>
        <v>14813</v>
      </c>
      <c r="FE44" s="3034">
        <f t="shared" ref="FE44:IB44" si="83">FE39-FE43</f>
        <v>13265</v>
      </c>
      <c r="FF44" s="3034">
        <f t="shared" si="83"/>
        <v>5477</v>
      </c>
      <c r="FG44" s="3034">
        <f t="shared" si="83"/>
        <v>144</v>
      </c>
      <c r="FH44" s="3034">
        <f t="shared" si="83"/>
        <v>287</v>
      </c>
      <c r="FI44" s="3034">
        <f t="shared" si="83"/>
        <v>505</v>
      </c>
      <c r="FJ44" s="3034">
        <f t="shared" si="83"/>
        <v>782</v>
      </c>
      <c r="FK44" s="3034">
        <f t="shared" si="83"/>
        <v>952</v>
      </c>
      <c r="FL44" s="3034">
        <f t="shared" si="83"/>
        <v>923</v>
      </c>
      <c r="FM44" s="3034">
        <f t="shared" si="83"/>
        <v>1389</v>
      </c>
      <c r="FN44" s="3034">
        <f t="shared" si="83"/>
        <v>2028</v>
      </c>
      <c r="FO44" s="3034">
        <f t="shared" si="83"/>
        <v>3331</v>
      </c>
      <c r="FP44" s="3034">
        <f t="shared" si="83"/>
        <v>3017</v>
      </c>
      <c r="FQ44" s="3034">
        <f t="shared" si="83"/>
        <v>1966</v>
      </c>
      <c r="FR44" s="3034">
        <f t="shared" si="83"/>
        <v>2312</v>
      </c>
      <c r="FS44" s="3034">
        <f t="shared" si="83"/>
        <v>2386</v>
      </c>
      <c r="FT44" s="3034">
        <f t="shared" si="83"/>
        <v>2251</v>
      </c>
      <c r="FU44" s="3034">
        <f t="shared" si="83"/>
        <v>3276</v>
      </c>
      <c r="FV44" s="3034">
        <f t="shared" si="83"/>
        <v>4688</v>
      </c>
      <c r="FW44" s="3034">
        <f t="shared" si="83"/>
        <v>4350</v>
      </c>
      <c r="FX44" s="3034">
        <f t="shared" si="83"/>
        <v>4666</v>
      </c>
      <c r="FY44" s="3034">
        <f t="shared" si="83"/>
        <v>5658</v>
      </c>
      <c r="FZ44" s="3034">
        <f t="shared" si="83"/>
        <v>7002</v>
      </c>
      <c r="GA44" s="3034">
        <f t="shared" si="83"/>
        <v>7221</v>
      </c>
      <c r="GB44" s="3034">
        <f t="shared" ref="GB44:GM44" si="84">GB39-GB43</f>
        <v>6557</v>
      </c>
      <c r="GC44" s="3034">
        <f t="shared" si="84"/>
        <v>6983</v>
      </c>
      <c r="GD44" s="3034">
        <f t="shared" si="84"/>
        <v>7910</v>
      </c>
      <c r="GE44" s="3034">
        <f t="shared" si="84"/>
        <v>9380</v>
      </c>
      <c r="GF44" s="3034">
        <f t="shared" si="84"/>
        <v>8837</v>
      </c>
      <c r="GG44" s="3034">
        <f t="shared" si="84"/>
        <v>31716</v>
      </c>
      <c r="GH44" s="3034">
        <f t="shared" si="84"/>
        <v>42025</v>
      </c>
      <c r="GI44" s="3034">
        <f t="shared" si="84"/>
        <v>38472</v>
      </c>
      <c r="GJ44" s="3034">
        <f t="shared" si="84"/>
        <v>35385</v>
      </c>
      <c r="GK44" s="3034">
        <f t="shared" si="84"/>
        <v>41233</v>
      </c>
      <c r="GL44" s="3034">
        <f t="shared" si="84"/>
        <v>48322</v>
      </c>
      <c r="GM44" s="3034">
        <f t="shared" si="84"/>
        <v>52712</v>
      </c>
      <c r="GN44" s="2815">
        <f t="shared" si="83"/>
        <v>0</v>
      </c>
      <c r="GO44" s="2816">
        <f t="shared" si="83"/>
        <v>32550</v>
      </c>
      <c r="GP44" s="2816">
        <f t="shared" si="83"/>
        <v>33057</v>
      </c>
      <c r="GQ44" s="2816">
        <f t="shared" si="83"/>
        <v>44437</v>
      </c>
      <c r="GR44" s="2816">
        <f t="shared" si="83"/>
        <v>37830</v>
      </c>
      <c r="GS44" s="2816">
        <f t="shared" si="83"/>
        <v>37919</v>
      </c>
      <c r="GT44" s="2816">
        <f t="shared" si="83"/>
        <v>32295</v>
      </c>
      <c r="GU44" s="2816">
        <f t="shared" si="83"/>
        <v>38495</v>
      </c>
      <c r="GV44" s="2816">
        <f t="shared" si="83"/>
        <v>35129</v>
      </c>
      <c r="GW44" s="2816">
        <f t="shared" si="83"/>
        <v>31950</v>
      </c>
      <c r="GX44" s="2816">
        <f t="shared" si="83"/>
        <v>28649</v>
      </c>
      <c r="GY44" s="2816">
        <f t="shared" si="83"/>
        <v>45235</v>
      </c>
      <c r="GZ44" s="2816">
        <f t="shared" si="83"/>
        <v>43411</v>
      </c>
      <c r="HA44" s="2816">
        <f t="shared" si="83"/>
        <v>40684</v>
      </c>
      <c r="HB44" s="2816">
        <f t="shared" si="83"/>
        <v>37074</v>
      </c>
      <c r="HC44" s="2816">
        <f t="shared" si="83"/>
        <v>42810</v>
      </c>
      <c r="HD44" s="2816">
        <f t="shared" si="83"/>
        <v>42910</v>
      </c>
      <c r="HE44" s="2816">
        <f t="shared" si="83"/>
        <v>37216</v>
      </c>
      <c r="HF44" s="2816">
        <f t="shared" si="83"/>
        <v>37022</v>
      </c>
      <c r="HG44" s="2816">
        <f t="shared" si="83"/>
        <v>39958</v>
      </c>
      <c r="HH44" s="2816">
        <f t="shared" si="83"/>
        <v>39465</v>
      </c>
      <c r="HI44" s="2816">
        <f t="shared" si="83"/>
        <v>37232</v>
      </c>
      <c r="HJ44" s="2816">
        <f t="shared" si="83"/>
        <v>35817</v>
      </c>
      <c r="HK44" s="2816">
        <f t="shared" si="83"/>
        <v>40525</v>
      </c>
      <c r="HL44" s="2816">
        <f t="shared" si="83"/>
        <v>44621</v>
      </c>
      <c r="HM44" s="2816">
        <f t="shared" si="83"/>
        <v>42353</v>
      </c>
      <c r="HN44" s="2816">
        <f t="shared" si="83"/>
        <v>45198</v>
      </c>
      <c r="HO44" s="2816">
        <f t="shared" si="83"/>
        <v>50668</v>
      </c>
      <c r="HP44" s="2816">
        <f t="shared" si="83"/>
        <v>56347</v>
      </c>
      <c r="HQ44" s="2816">
        <f t="shared" si="83"/>
        <v>47894</v>
      </c>
      <c r="HR44" s="2816">
        <f t="shared" si="83"/>
        <v>47343</v>
      </c>
      <c r="HS44" s="2816">
        <f t="shared" si="83"/>
        <v>59097</v>
      </c>
      <c r="HT44" s="2816">
        <f t="shared" si="83"/>
        <v>70765</v>
      </c>
      <c r="HU44" s="2816">
        <f t="shared" si="83"/>
        <v>64719</v>
      </c>
      <c r="HV44" s="2816">
        <f t="shared" si="83"/>
        <v>66270</v>
      </c>
      <c r="HW44" s="2816">
        <f t="shared" si="83"/>
        <v>69340</v>
      </c>
      <c r="HX44" s="2816">
        <f t="shared" si="83"/>
        <v>76987</v>
      </c>
      <c r="HY44" s="2816">
        <f t="shared" si="83"/>
        <v>55876</v>
      </c>
      <c r="HZ44" s="2816">
        <f t="shared" si="83"/>
        <v>46216</v>
      </c>
      <c r="IA44" s="2816">
        <f t="shared" si="83"/>
        <v>68230</v>
      </c>
      <c r="IB44" s="2816">
        <f t="shared" si="83"/>
        <v>73196</v>
      </c>
      <c r="IC44" s="2816">
        <f t="shared" ref="IC44:JP44" si="85">IC39-IC43</f>
        <v>61528</v>
      </c>
      <c r="ID44" s="2816">
        <f t="shared" si="85"/>
        <v>66941</v>
      </c>
      <c r="IE44" s="2816">
        <f t="shared" si="85"/>
        <v>74554</v>
      </c>
      <c r="IF44" s="2816">
        <f t="shared" si="85"/>
        <v>82170</v>
      </c>
      <c r="IG44" s="2816">
        <f t="shared" si="85"/>
        <v>70498</v>
      </c>
      <c r="IH44" s="2816">
        <f t="shared" si="85"/>
        <v>72678</v>
      </c>
      <c r="II44" s="2816">
        <f t="shared" si="85"/>
        <v>81567</v>
      </c>
      <c r="IJ44" s="2816">
        <f t="shared" si="85"/>
        <v>86985</v>
      </c>
      <c r="IK44" s="2816">
        <f t="shared" si="85"/>
        <v>70318</v>
      </c>
      <c r="IL44" s="2816">
        <f t="shared" si="85"/>
        <v>62186</v>
      </c>
      <c r="IM44" s="2816">
        <f t="shared" si="85"/>
        <v>48640</v>
      </c>
      <c r="IN44" s="2816">
        <f t="shared" si="85"/>
        <v>39343</v>
      </c>
      <c r="IO44" s="2816">
        <f t="shared" si="85"/>
        <v>33555</v>
      </c>
      <c r="IP44" s="2816">
        <f t="shared" si="85"/>
        <v>936</v>
      </c>
      <c r="IQ44" s="2816">
        <f t="shared" si="85"/>
        <v>-116512</v>
      </c>
      <c r="IR44" s="2816">
        <f t="shared" si="85"/>
        <v>6748</v>
      </c>
      <c r="IS44" s="2816">
        <f t="shared" si="85"/>
        <v>7295</v>
      </c>
      <c r="IT44" s="2816">
        <f t="shared" si="85"/>
        <v>7913</v>
      </c>
      <c r="IU44" s="2816">
        <f t="shared" si="85"/>
        <v>13704</v>
      </c>
      <c r="IV44" s="2816">
        <f t="shared" si="85"/>
        <v>19881</v>
      </c>
      <c r="IW44" s="2816">
        <f>IW39-IW43</f>
        <v>21450</v>
      </c>
      <c r="IX44" s="2816">
        <f>IX39-IX43</f>
        <v>49933</v>
      </c>
      <c r="IY44" s="2816">
        <f>IY39-IY43</f>
        <v>115882</v>
      </c>
      <c r="IZ44" s="2816">
        <f>IZ39-IZ43</f>
        <v>142267</v>
      </c>
      <c r="JA44" s="2816">
        <f t="shared" si="85"/>
        <v>0</v>
      </c>
      <c r="JB44" s="3547">
        <f t="shared" si="85"/>
        <v>147874</v>
      </c>
      <c r="JC44" s="3547">
        <f t="shared" si="85"/>
        <v>143838</v>
      </c>
      <c r="JD44" s="3547">
        <f t="shared" si="85"/>
        <v>149245</v>
      </c>
      <c r="JE44" s="3547">
        <f t="shared" si="85"/>
        <v>163478</v>
      </c>
      <c r="JF44" s="3547">
        <f t="shared" si="85"/>
        <v>153661</v>
      </c>
      <c r="JG44" s="3547">
        <f t="shared" si="85"/>
        <v>158195</v>
      </c>
      <c r="JH44" s="3547">
        <f t="shared" si="85"/>
        <v>194594</v>
      </c>
      <c r="JI44" s="3547">
        <f t="shared" si="85"/>
        <v>225099</v>
      </c>
      <c r="JJ44" s="3547">
        <f t="shared" si="85"/>
        <v>277316</v>
      </c>
      <c r="JK44" s="3564">
        <f t="shared" si="85"/>
        <v>198010</v>
      </c>
      <c r="JL44" s="3543">
        <f t="shared" si="85"/>
        <v>258038</v>
      </c>
      <c r="JM44" s="3543">
        <f t="shared" si="85"/>
        <v>281643</v>
      </c>
      <c r="JN44" s="3543">
        <f t="shared" si="85"/>
        <v>188896</v>
      </c>
      <c r="JO44" s="3565">
        <f t="shared" si="85"/>
        <v>34542</v>
      </c>
      <c r="JP44" s="3565">
        <f t="shared" si="85"/>
        <v>42943</v>
      </c>
      <c r="JQ44" s="3575">
        <f>JQ39-JQ43</f>
        <v>139540</v>
      </c>
      <c r="JS44" s="4666">
        <f>JS39-JS43</f>
        <v>4349</v>
      </c>
      <c r="JT44" s="4669">
        <f>JT39-JT43</f>
        <v>26850</v>
      </c>
      <c r="JU44" s="2525"/>
      <c r="JV44" s="2566"/>
      <c r="JW44" s="2566"/>
      <c r="JX44" s="2566"/>
      <c r="JY44" s="2566"/>
      <c r="JZ44" s="2566"/>
      <c r="KA44" s="2566"/>
      <c r="KB44" s="2566"/>
      <c r="KC44" s="3076"/>
      <c r="KD44" s="2566"/>
      <c r="KE44" s="2566"/>
      <c r="KF44" s="2566"/>
      <c r="KG44" s="2566"/>
      <c r="KH44" s="2566"/>
      <c r="KI44" s="2566"/>
      <c r="KJ44" s="2566"/>
      <c r="KK44" s="2566"/>
      <c r="KL44" s="708"/>
      <c r="KM44" s="708"/>
      <c r="KN44" s="3551"/>
      <c r="KO44" s="3551"/>
      <c r="KP44" s="3551"/>
      <c r="KQ44" s="3551"/>
      <c r="KR44" s="3551"/>
      <c r="KS44" s="3551"/>
      <c r="KT44" s="3551"/>
      <c r="KU44" s="3551"/>
      <c r="KV44" s="3551"/>
      <c r="KW44" s="3551"/>
      <c r="KX44" s="3551"/>
      <c r="KY44" s="3551"/>
      <c r="KZ44" s="3551"/>
      <c r="LA44" s="3551"/>
      <c r="LB44" s="3551"/>
      <c r="LC44" s="3551"/>
      <c r="LD44" s="3551"/>
      <c r="LE44" s="3551"/>
      <c r="LF44" s="3551"/>
      <c r="LG44" s="3551"/>
      <c r="LH44" s="3551"/>
      <c r="LI44" s="3551"/>
      <c r="LJ44" s="3551"/>
      <c r="LK44" s="2525"/>
      <c r="LL44" s="2525"/>
      <c r="LM44" s="2525"/>
      <c r="LN44" s="2525"/>
      <c r="LO44" s="2525"/>
      <c r="LP44" s="2525"/>
      <c r="LQ44" s="2525"/>
      <c r="LR44" s="2525"/>
    </row>
    <row r="45" spans="1:330" ht="15" thickBot="1">
      <c r="A45" s="3566"/>
      <c r="B45" s="3566"/>
      <c r="C45" s="3567" t="s">
        <v>503</v>
      </c>
      <c r="D45" s="3568"/>
      <c r="E45" s="2580"/>
      <c r="F45" s="2580"/>
      <c r="G45" s="3569"/>
      <c r="H45" s="2580"/>
      <c r="I45" s="2580"/>
      <c r="J45" s="2580"/>
      <c r="K45" s="2580"/>
      <c r="L45" s="2580"/>
      <c r="M45" s="3569"/>
      <c r="N45" s="2580"/>
      <c r="O45" s="2580"/>
      <c r="P45" s="2581">
        <f>P43/D43-1</f>
        <v>0.18427625579827933</v>
      </c>
      <c r="Q45" s="2581">
        <f t="shared" ref="Q45:CB45" si="86">Q43/E43-1</f>
        <v>0.54197458455522973</v>
      </c>
      <c r="R45" s="2581">
        <f t="shared" si="86"/>
        <v>0.10718917592625044</v>
      </c>
      <c r="S45" s="2581">
        <f t="shared" si="86"/>
        <v>0.1235902054118958</v>
      </c>
      <c r="T45" s="2581">
        <f t="shared" si="86"/>
        <v>0.21911560579020417</v>
      </c>
      <c r="U45" s="2581">
        <f t="shared" si="86"/>
        <v>8.3191804825448079E-2</v>
      </c>
      <c r="V45" s="2581">
        <f t="shared" si="86"/>
        <v>-2.1309156676791785E-2</v>
      </c>
      <c r="W45" s="2581">
        <f t="shared" si="86"/>
        <v>-8.9695908991468398E-3</v>
      </c>
      <c r="X45" s="2581">
        <f t="shared" si="86"/>
        <v>5.785187461585739E-2</v>
      </c>
      <c r="Y45" s="2581">
        <f t="shared" si="86"/>
        <v>7.0885805001605462E-2</v>
      </c>
      <c r="Z45" s="2581">
        <f t="shared" si="86"/>
        <v>1.9956017986674013E-2</v>
      </c>
      <c r="AA45" s="2581">
        <f t="shared" si="86"/>
        <v>-3.5787321063394661E-2</v>
      </c>
      <c r="AB45" s="2581">
        <f t="shared" si="86"/>
        <v>-1.1147936125338931E-2</v>
      </c>
      <c r="AC45" s="2581">
        <f t="shared" si="86"/>
        <v>-0.3049751496094939</v>
      </c>
      <c r="AD45" s="2581">
        <f t="shared" si="86"/>
        <v>-0.11457245069174027</v>
      </c>
      <c r="AE45" s="2581">
        <f t="shared" si="86"/>
        <v>7.3279645815045313E-3</v>
      </c>
      <c r="AF45" s="2581">
        <f t="shared" si="86"/>
        <v>7.6073519843851578E-2</v>
      </c>
      <c r="AG45" s="2581">
        <f t="shared" si="86"/>
        <v>-1.0378039371842451E-2</v>
      </c>
      <c r="AH45" s="2581">
        <f t="shared" si="86"/>
        <v>-3.9873957543593685E-2</v>
      </c>
      <c r="AI45" s="2581">
        <f t="shared" si="86"/>
        <v>2.4282560706401224E-3</v>
      </c>
      <c r="AJ45" s="2581">
        <f t="shared" si="86"/>
        <v>-3.6240830851913763E-2</v>
      </c>
      <c r="AK45" s="2581">
        <f t="shared" si="86"/>
        <v>-4.6838563528549537E-2</v>
      </c>
      <c r="AL45" s="2581">
        <f t="shared" si="86"/>
        <v>2.8318584070796682E-3</v>
      </c>
      <c r="AM45" s="2581">
        <f t="shared" si="86"/>
        <v>0.18792377647096625</v>
      </c>
      <c r="AN45" s="2581">
        <f t="shared" si="86"/>
        <v>6.632134877107454E-2</v>
      </c>
      <c r="AO45" s="2581">
        <f t="shared" si="86"/>
        <v>0.20613667043671779</v>
      </c>
      <c r="AP45" s="2581">
        <f t="shared" si="86"/>
        <v>0.11649027459954242</v>
      </c>
      <c r="AQ45" s="2581">
        <f t="shared" si="86"/>
        <v>-3.8570833175463171E-2</v>
      </c>
      <c r="AR45" s="2581">
        <f t="shared" si="86"/>
        <v>-5.6063606269933675E-2</v>
      </c>
      <c r="AS45" s="2581">
        <f t="shared" si="86"/>
        <v>-2.1879086611005238E-3</v>
      </c>
      <c r="AT45" s="2581">
        <f t="shared" si="86"/>
        <v>1.922270203578047E-2</v>
      </c>
      <c r="AU45" s="2581">
        <f t="shared" si="86"/>
        <v>-3.0114512221977585E-2</v>
      </c>
      <c r="AV45" s="2581">
        <f t="shared" si="86"/>
        <v>1.2735493594574265E-2</v>
      </c>
      <c r="AW45" s="2581">
        <f t="shared" si="86"/>
        <v>5.5221585348804725E-2</v>
      </c>
      <c r="AX45" s="2581">
        <f t="shared" si="86"/>
        <v>-6.7708500465295529E-3</v>
      </c>
      <c r="AY45" s="2581">
        <f t="shared" si="86"/>
        <v>-6.0324072821705821E-2</v>
      </c>
      <c r="AZ45" s="2581">
        <f t="shared" si="86"/>
        <v>-1.4064831571260705E-2</v>
      </c>
      <c r="BA45" s="2581">
        <f t="shared" si="86"/>
        <v>-8.6935478992105075E-2</v>
      </c>
      <c r="BB45" s="2581">
        <f t="shared" si="86"/>
        <v>5.6907705117530183E-2</v>
      </c>
      <c r="BC45" s="2581">
        <f t="shared" si="86"/>
        <v>0.17450246305418715</v>
      </c>
      <c r="BD45" s="2581">
        <f t="shared" si="86"/>
        <v>3.8367922111196551E-2</v>
      </c>
      <c r="BE45" s="2581">
        <f t="shared" si="86"/>
        <v>5.907704715578288E-2</v>
      </c>
      <c r="BF45" s="2581">
        <f t="shared" si="86"/>
        <v>5.038252953709077E-2</v>
      </c>
      <c r="BG45" s="2581">
        <f t="shared" si="86"/>
        <v>2.6593631151728525E-2</v>
      </c>
      <c r="BH45" s="2581">
        <f t="shared" si="86"/>
        <v>6.2095394002529947E-2</v>
      </c>
      <c r="BI45" s="2581">
        <f t="shared" si="86"/>
        <v>4.1666666666666741E-2</v>
      </c>
      <c r="BJ45" s="2581">
        <f t="shared" si="86"/>
        <v>8.542258981648998E-2</v>
      </c>
      <c r="BK45" s="2581">
        <f t="shared" si="86"/>
        <v>8.5211733886058072E-2</v>
      </c>
      <c r="BL45" s="2581">
        <f t="shared" si="86"/>
        <v>2.1929542087975706E-2</v>
      </c>
      <c r="BM45" s="2581">
        <f t="shared" si="86"/>
        <v>7.5865496107339059E-3</v>
      </c>
      <c r="BN45" s="2581">
        <f t="shared" si="86"/>
        <v>5.6540314516862145E-2</v>
      </c>
      <c r="BO45" s="2581">
        <f t="shared" si="86"/>
        <v>1.9662450088917316E-2</v>
      </c>
      <c r="BP45" s="2581">
        <f t="shared" si="86"/>
        <v>6.304361236197642E-2</v>
      </c>
      <c r="BQ45" s="2581">
        <f t="shared" si="86"/>
        <v>0.10961186073629858</v>
      </c>
      <c r="BR45" s="2581">
        <f t="shared" si="86"/>
        <v>8.21251584649072E-2</v>
      </c>
      <c r="BS45" s="2581">
        <f t="shared" si="86"/>
        <v>6.8369688424428476E-2</v>
      </c>
      <c r="BT45" s="2581">
        <f t="shared" si="86"/>
        <v>0.13633656776543934</v>
      </c>
      <c r="BU45" s="2581">
        <f t="shared" si="86"/>
        <v>0.16947535771065181</v>
      </c>
      <c r="BV45" s="2581">
        <f t="shared" si="86"/>
        <v>0.13561138230741765</v>
      </c>
      <c r="BW45" s="2581">
        <f t="shared" si="86"/>
        <v>0.23662360400031823</v>
      </c>
      <c r="BX45" s="2581">
        <f t="shared" si="86"/>
        <v>0.2150937450764141</v>
      </c>
      <c r="BY45" s="2581">
        <f t="shared" si="86"/>
        <v>0.21542710593805481</v>
      </c>
      <c r="BZ45" s="2581">
        <f t="shared" si="86"/>
        <v>0.16676704235854189</v>
      </c>
      <c r="CA45" s="2581">
        <f t="shared" si="86"/>
        <v>0.11579847971305401</v>
      </c>
      <c r="CB45" s="2581">
        <f t="shared" si="86"/>
        <v>0.17591249347182725</v>
      </c>
      <c r="CC45" s="2581">
        <f t="shared" ref="CC45:EE45" si="87">CC43/BQ43-1</f>
        <v>0.12786582881163278</v>
      </c>
      <c r="CD45" s="2581">
        <f t="shared" si="87"/>
        <v>0.15167845275624092</v>
      </c>
      <c r="CE45" s="2581">
        <f t="shared" si="87"/>
        <v>0.13909015629851984</v>
      </c>
      <c r="CF45" s="2581">
        <f t="shared" si="87"/>
        <v>0.26122876784117888</v>
      </c>
      <c r="CG45" s="2581">
        <f t="shared" si="87"/>
        <v>0.18964110929853173</v>
      </c>
      <c r="CH45" s="2581">
        <f t="shared" si="87"/>
        <v>0.21516565317676672</v>
      </c>
      <c r="CI45" s="2581">
        <f t="shared" si="87"/>
        <v>0.14726387369414584</v>
      </c>
      <c r="CJ45" s="2581">
        <f t="shared" si="87"/>
        <v>0.16239205414797331</v>
      </c>
      <c r="CK45" s="2581">
        <f t="shared" si="87"/>
        <v>0.24162744143266779</v>
      </c>
      <c r="CL45" s="2581">
        <f t="shared" si="87"/>
        <v>8.0916330744272846E-2</v>
      </c>
      <c r="CM45" s="2581">
        <f t="shared" si="87"/>
        <v>0.1995694231449805</v>
      </c>
      <c r="CN45" s="2581">
        <f t="shared" si="87"/>
        <v>6.9826543956179599E-2</v>
      </c>
      <c r="CO45" s="2581">
        <f t="shared" si="87"/>
        <v>-3.9571012949476181E-2</v>
      </c>
      <c r="CP45" s="2581">
        <f t="shared" si="87"/>
        <v>9.1605171170171529E-2</v>
      </c>
      <c r="CQ45" s="2581">
        <f t="shared" si="87"/>
        <v>7.4717735523296858E-2</v>
      </c>
      <c r="CR45" s="2581">
        <f t="shared" si="87"/>
        <v>8.4178622931586622E-2</v>
      </c>
      <c r="CS45" s="2581">
        <f t="shared" si="87"/>
        <v>7.1191863786995713E-2</v>
      </c>
      <c r="CT45" s="2581">
        <f t="shared" si="87"/>
        <v>7.1482496063501655E-2</v>
      </c>
      <c r="CU45" s="2581">
        <f t="shared" si="87"/>
        <v>0.19520586365506154</v>
      </c>
      <c r="CV45" s="2581">
        <f t="shared" si="87"/>
        <v>2.3715503201481303E-2</v>
      </c>
      <c r="CW45" s="2581">
        <f t="shared" si="87"/>
        <v>-8.7345853849840949E-2</v>
      </c>
      <c r="CX45" s="2581">
        <f t="shared" si="87"/>
        <v>5.0072766963798365E-2</v>
      </c>
      <c r="CY45" s="2581">
        <f t="shared" si="87"/>
        <v>-2.1634910878918223E-3</v>
      </c>
      <c r="CZ45" s="2581">
        <f t="shared" si="87"/>
        <v>8.0721418851910087E-3</v>
      </c>
      <c r="DA45" s="2581">
        <f t="shared" si="87"/>
        <v>7.2384572740952002E-2</v>
      </c>
      <c r="DB45" s="2581">
        <f t="shared" si="87"/>
        <v>-1.5434922571244569E-2</v>
      </c>
      <c r="DC45" s="2581">
        <f t="shared" si="87"/>
        <v>-0.1076984865139089</v>
      </c>
      <c r="DD45" s="2581">
        <f t="shared" si="87"/>
        <v>-0.13666388619609082</v>
      </c>
      <c r="DE45" s="2581">
        <f t="shared" si="87"/>
        <v>-8.0819287390655026E-2</v>
      </c>
      <c r="DF45" s="2581">
        <f t="shared" si="87"/>
        <v>-0.10530447911424257</v>
      </c>
      <c r="DG45" s="2581">
        <f t="shared" si="87"/>
        <v>-0.11298144613748007</v>
      </c>
      <c r="DH45" s="2581">
        <f t="shared" si="87"/>
        <v>-2.9987359979078532E-2</v>
      </c>
      <c r="DI45" s="2581">
        <f t="shared" si="87"/>
        <v>1.9957506744013864E-2</v>
      </c>
      <c r="DJ45" s="2581">
        <f t="shared" si="87"/>
        <v>1.2798302221837199E-2</v>
      </c>
      <c r="DK45" s="2581">
        <f t="shared" si="87"/>
        <v>-0.14016803409958856</v>
      </c>
      <c r="DL45" s="2581">
        <f t="shared" si="87"/>
        <v>-8.840284609576976E-2</v>
      </c>
      <c r="DM45" s="2581">
        <f t="shared" si="87"/>
        <v>6.111070083450354E-3</v>
      </c>
      <c r="DN45" s="2581">
        <f t="shared" si="87"/>
        <v>-2.1269639138889351E-2</v>
      </c>
      <c r="DO45" s="2581">
        <f t="shared" si="87"/>
        <v>-3.6694857034562767E-2</v>
      </c>
      <c r="DP45" s="2581">
        <f t="shared" si="87"/>
        <v>-0.1473821647734691</v>
      </c>
      <c r="DQ45" s="2581">
        <f t="shared" si="87"/>
        <v>-2.2306299614688219E-2</v>
      </c>
      <c r="DR45" s="2581">
        <f t="shared" si="87"/>
        <v>-9.7695976959769615E-2</v>
      </c>
      <c r="DS45" s="2581">
        <f t="shared" si="87"/>
        <v>-2.0070546737213424E-2</v>
      </c>
      <c r="DT45" s="2581">
        <f t="shared" si="87"/>
        <v>-4.4282183778926121E-2</v>
      </c>
      <c r="DU45" s="2581">
        <f t="shared" si="87"/>
        <v>-5.8256290228203667E-2</v>
      </c>
      <c r="DV45" s="2581">
        <f t="shared" si="87"/>
        <v>-3.2264961833693206E-2</v>
      </c>
      <c r="DW45" s="2581">
        <f t="shared" si="87"/>
        <v>0.19720327812482097</v>
      </c>
      <c r="DX45" s="2581">
        <f t="shared" si="87"/>
        <v>-7.5291755552766571E-3</v>
      </c>
      <c r="DY45" s="2581">
        <f t="shared" si="87"/>
        <v>5.398660427562163E-2</v>
      </c>
      <c r="DZ45" s="2581">
        <f t="shared" si="87"/>
        <v>3.9771428571428569E-2</v>
      </c>
      <c r="EA45" s="2581">
        <f t="shared" si="87"/>
        <v>4.6724375368876636E-2</v>
      </c>
      <c r="EB45" s="2581">
        <f t="shared" si="87"/>
        <v>0.13172644023153968</v>
      </c>
      <c r="EC45" s="2581">
        <f t="shared" si="87"/>
        <v>-3.0103748723914414E-2</v>
      </c>
      <c r="ED45" s="2581">
        <f t="shared" si="87"/>
        <v>7.0196000199491237E-2</v>
      </c>
      <c r="EE45" s="2581">
        <f t="shared" si="87"/>
        <v>8.9791584176235562E-2</v>
      </c>
      <c r="EF45" s="3570">
        <f t="shared" ref="EF45:EQ45" si="88">EF43/DT43-1</f>
        <v>4.7250758127835635E-2</v>
      </c>
      <c r="EG45" s="2581">
        <f t="shared" si="88"/>
        <v>0.10120290287304901</v>
      </c>
      <c r="EH45" s="2581">
        <f t="shared" si="88"/>
        <v>9.2045956694653208E-2</v>
      </c>
      <c r="EI45" s="2581">
        <f t="shared" si="88"/>
        <v>-6.6036381043561465E-2</v>
      </c>
      <c r="EJ45" s="2581">
        <f t="shared" si="88"/>
        <v>0.15182703249462648</v>
      </c>
      <c r="EK45" s="2581">
        <f t="shared" si="88"/>
        <v>6.7761199226979096E-2</v>
      </c>
      <c r="EL45" s="2581">
        <f t="shared" si="88"/>
        <v>3.2094965926577235E-2</v>
      </c>
      <c r="EM45" s="2581">
        <f t="shared" si="88"/>
        <v>6.4820035710929425E-2</v>
      </c>
      <c r="EN45" s="2581">
        <f t="shared" si="88"/>
        <v>0.1071119289889586</v>
      </c>
      <c r="EO45" s="2581">
        <f t="shared" si="88"/>
        <v>6.0436198076028624E-2</v>
      </c>
      <c r="EP45" s="2581">
        <f t="shared" si="88"/>
        <v>3.4951184845166239E-2</v>
      </c>
      <c r="EQ45" s="2581">
        <f t="shared" si="88"/>
        <v>1.5458043632640361E-2</v>
      </c>
      <c r="ER45" s="3570">
        <f>ER43/EF43-1</f>
        <v>-1.0303261577139788E-2</v>
      </c>
      <c r="ES45" s="2581">
        <f t="shared" ref="ES45:FC45" si="89">ES43/EG43-1</f>
        <v>-2.2117901959014197E-2</v>
      </c>
      <c r="ET45" s="2581">
        <f t="shared" si="89"/>
        <v>-8.0322097681382321E-2</v>
      </c>
      <c r="EU45" s="2581">
        <f t="shared" si="89"/>
        <v>0.10666051613233907</v>
      </c>
      <c r="EV45" s="2581">
        <f t="shared" si="89"/>
        <v>-1.2996992250104311E-2</v>
      </c>
      <c r="EW45" s="2581">
        <f t="shared" si="89"/>
        <v>-5.7966051949322472E-2</v>
      </c>
      <c r="EX45" s="2581">
        <f t="shared" si="89"/>
        <v>3.5717211436061547E-3</v>
      </c>
      <c r="EY45" s="2581">
        <f t="shared" si="89"/>
        <v>8.1878957703594102E-2</v>
      </c>
      <c r="EZ45" s="2581">
        <f t="shared" si="89"/>
        <v>3.8988022488389174E-2</v>
      </c>
      <c r="FA45" s="2581">
        <f t="shared" si="89"/>
        <v>-0.20317621531785235</v>
      </c>
      <c r="FB45" s="2581">
        <f t="shared" si="89"/>
        <v>-2.2446360627687567E-2</v>
      </c>
      <c r="FC45" s="2585">
        <f t="shared" si="89"/>
        <v>-0.11630100671686694</v>
      </c>
      <c r="FD45" s="2585">
        <f t="shared" ref="FD45:GM45" si="90">FD43/ER43-1</f>
        <v>-1.8598321614878621E-2</v>
      </c>
      <c r="FE45" s="2585">
        <f t="shared" si="90"/>
        <v>-2.746491875923196E-2</v>
      </c>
      <c r="FF45" s="2585">
        <f t="shared" si="90"/>
        <v>-0.62895987328405489</v>
      </c>
      <c r="FG45" s="2585">
        <f t="shared" si="90"/>
        <v>-0.99451172915267583</v>
      </c>
      <c r="FH45" s="2585">
        <f t="shared" si="90"/>
        <v>-0.99188113085837581</v>
      </c>
      <c r="FI45" s="2585">
        <f t="shared" si="90"/>
        <v>-0.98390279364419986</v>
      </c>
      <c r="FJ45" s="2585">
        <f t="shared" si="90"/>
        <v>-0.95298189476433803</v>
      </c>
      <c r="FK45" s="2585">
        <f t="shared" si="90"/>
        <v>-0.92652037361830564</v>
      </c>
      <c r="FL45" s="2585">
        <f t="shared" si="90"/>
        <v>-0.88716621573932475</v>
      </c>
      <c r="FM45" s="2585">
        <f t="shared" si="90"/>
        <v>-0.77723059096176128</v>
      </c>
      <c r="FN45" s="2585">
        <f t="shared" si="90"/>
        <v>-0.78046982957162592</v>
      </c>
      <c r="FO45" s="2585">
        <f t="shared" si="90"/>
        <v>-0.72018551236749118</v>
      </c>
      <c r="FP45" s="2585">
        <f t="shared" si="90"/>
        <v>-0.74069794314767745</v>
      </c>
      <c r="FQ45" s="2585">
        <f t="shared" si="90"/>
        <v>-0.78810100147135609</v>
      </c>
      <c r="FR45" s="2585">
        <f t="shared" si="90"/>
        <v>-0.31086208941064863</v>
      </c>
      <c r="FS45" s="2585">
        <f t="shared" si="90"/>
        <v>44.763713080168777</v>
      </c>
      <c r="FT45" s="2585">
        <f t="shared" si="90"/>
        <v>34.736986301369861</v>
      </c>
      <c r="FU45" s="2585">
        <f t="shared" si="90"/>
        <v>19.836559139784946</v>
      </c>
      <c r="FV45" s="2585">
        <f t="shared" si="90"/>
        <v>7.7951388888888893</v>
      </c>
      <c r="FW45" s="2585">
        <f t="shared" si="90"/>
        <v>5.4196502914238138</v>
      </c>
      <c r="FX45" s="2585">
        <f t="shared" si="90"/>
        <v>3.2971226021684741</v>
      </c>
      <c r="FY45" s="2585">
        <f t="shared" si="90"/>
        <v>2.1361508452535762</v>
      </c>
      <c r="FZ45" s="2585">
        <f t="shared" si="90"/>
        <v>1.9613932018464122</v>
      </c>
      <c r="GA45" s="2585">
        <f t="shared" si="90"/>
        <v>1.3512891344383058</v>
      </c>
      <c r="GB45" s="2585">
        <f t="shared" si="90"/>
        <v>1.2172905525846702</v>
      </c>
      <c r="GC45" s="2585">
        <f t="shared" si="90"/>
        <v>1.9552021502967856</v>
      </c>
      <c r="GD45" s="2585">
        <f t="shared" si="90"/>
        <v>1.5994149531102124</v>
      </c>
      <c r="GE45" s="2585">
        <f t="shared" si="90"/>
        <v>1.9929006085192698</v>
      </c>
      <c r="GF45" s="2585">
        <f t="shared" si="90"/>
        <v>1.6770929162833488</v>
      </c>
      <c r="GG45" s="2585">
        <f t="shared" si="90"/>
        <v>-1</v>
      </c>
      <c r="GH45" s="2585">
        <f t="shared" si="90"/>
        <v>-1</v>
      </c>
      <c r="GI45" s="2585">
        <f t="shared" si="90"/>
        <v>-1</v>
      </c>
      <c r="GJ45" s="2585">
        <f t="shared" si="90"/>
        <v>-1</v>
      </c>
      <c r="GK45" s="2585">
        <f t="shared" si="90"/>
        <v>-1</v>
      </c>
      <c r="GL45" s="2585">
        <f t="shared" si="90"/>
        <v>-1</v>
      </c>
      <c r="GM45" s="2585">
        <f t="shared" si="90"/>
        <v>-1</v>
      </c>
      <c r="GN45" s="2586"/>
      <c r="GO45" s="2580">
        <v>0</v>
      </c>
      <c r="GP45" s="2580">
        <v>0</v>
      </c>
      <c r="GQ45" s="2580">
        <v>0</v>
      </c>
      <c r="GR45" s="2580">
        <v>0</v>
      </c>
      <c r="GS45" s="2581">
        <f>GS43/GO43-1</f>
        <v>0.36953409904229573</v>
      </c>
      <c r="GT45" s="2581">
        <f t="shared" ref="GT45:IF45" si="91">GT43/GP43-1</f>
        <v>0.25965702407760261</v>
      </c>
      <c r="GU45" s="2581">
        <f t="shared" si="91"/>
        <v>0.13564632898277895</v>
      </c>
      <c r="GV45" s="2581">
        <f t="shared" si="91"/>
        <v>0.12778417119466257</v>
      </c>
      <c r="GW45" s="2581">
        <f t="shared" si="91"/>
        <v>-0.11417621660631849</v>
      </c>
      <c r="GX45" s="2581">
        <f t="shared" si="91"/>
        <v>5.1117611761176018E-2</v>
      </c>
      <c r="GY45" s="2581">
        <f t="shared" si="91"/>
        <v>-7.9848247165759889E-2</v>
      </c>
      <c r="GZ45" s="2581">
        <f t="shared" si="91"/>
        <v>-3.5869747736343771E-2</v>
      </c>
      <c r="HA45" s="2581">
        <f t="shared" si="91"/>
        <v>6.4614909187959091E-2</v>
      </c>
      <c r="HB45" s="2581">
        <f t="shared" si="91"/>
        <v>-7.549862632461557E-2</v>
      </c>
      <c r="HC45" s="2581">
        <f t="shared" si="91"/>
        <v>-3.2162116412352004E-3</v>
      </c>
      <c r="HD45" s="2581">
        <f t="shared" si="91"/>
        <v>1.8354277752472559E-3</v>
      </c>
      <c r="HE45" s="2581">
        <f t="shared" si="91"/>
        <v>-1.9923209879800785E-3</v>
      </c>
      <c r="HF45" s="2581">
        <f t="shared" si="91"/>
        <v>9.0836581631996705E-2</v>
      </c>
      <c r="HG45" s="2581">
        <f t="shared" si="91"/>
        <v>7.7850557981562263E-2</v>
      </c>
      <c r="HH45" s="2581">
        <f t="shared" si="91"/>
        <v>0.12899343398547725</v>
      </c>
      <c r="HI45" s="2581">
        <f t="shared" si="91"/>
        <v>1.6102591221575979E-2</v>
      </c>
      <c r="HJ45" s="2581">
        <f t="shared" si="91"/>
        <v>0.12735570913036298</v>
      </c>
      <c r="HK45" s="2581">
        <f t="shared" si="91"/>
        <v>0.14341983839384187</v>
      </c>
      <c r="HL45" s="2581">
        <f t="shared" si="91"/>
        <v>0.19881551673082609</v>
      </c>
      <c r="HM45" s="2581">
        <f t="shared" si="91"/>
        <v>0.24886153686018364</v>
      </c>
      <c r="HN45" s="2581">
        <f t="shared" si="91"/>
        <v>0.10461017020074692</v>
      </c>
      <c r="HO45" s="2581">
        <f t="shared" si="91"/>
        <v>0.13724139288596682</v>
      </c>
      <c r="HP45" s="2581">
        <f t="shared" si="91"/>
        <v>0.15838355893686384</v>
      </c>
      <c r="HQ45" s="2581">
        <f t="shared" si="91"/>
        <v>0.13730270354742924</v>
      </c>
      <c r="HR45" s="2581">
        <f t="shared" si="91"/>
        <v>7.2002878978720153E-2</v>
      </c>
      <c r="HS45" s="2581">
        <f t="shared" si="91"/>
        <v>8.7411074377304221E-2</v>
      </c>
      <c r="HT45" s="2581">
        <f t="shared" si="91"/>
        <v>0.10806891845786426</v>
      </c>
      <c r="HU45" s="2581">
        <f t="shared" si="91"/>
        <v>-2.6977758235315674E-2</v>
      </c>
      <c r="HV45" s="2581">
        <f t="shared" si="91"/>
        <v>-1.6219654404749262E-2</v>
      </c>
      <c r="HW45" s="2581">
        <f t="shared" si="91"/>
        <v>-0.13803065756172106</v>
      </c>
      <c r="HX45" s="2581">
        <f t="shared" si="91"/>
        <v>-0.15573089061658074</v>
      </c>
      <c r="HY45" s="2581">
        <f t="shared" si="91"/>
        <v>-3.2046997241548136E-2</v>
      </c>
      <c r="HZ45" s="2581">
        <f t="shared" si="91"/>
        <v>-8.2201867816091956E-2</v>
      </c>
      <c r="IA45" s="2581">
        <f t="shared" si="91"/>
        <v>1.5410468777411479E-2</v>
      </c>
      <c r="IB45" s="2581">
        <f t="shared" si="91"/>
        <v>-0.15215310132295157</v>
      </c>
      <c r="IC45" s="2581">
        <f t="shared" si="91"/>
        <v>-0.12900841316928469</v>
      </c>
      <c r="ID45" s="2581">
        <f t="shared" si="91"/>
        <v>-5.8920219947948271E-2</v>
      </c>
      <c r="IE45" s="2581">
        <f t="shared" si="91"/>
        <v>-0.16205034008656749</v>
      </c>
      <c r="IF45" s="2581">
        <f t="shared" si="91"/>
        <v>-3.3884999623619461E-2</v>
      </c>
      <c r="IG45" s="2581">
        <f t="shared" ref="IG45:IZ45" si="92">IG43/IC43-1</f>
        <v>5.0864870297372411E-2</v>
      </c>
      <c r="IH45" s="2581">
        <f t="shared" si="92"/>
        <v>3.8883806038426449E-2</v>
      </c>
      <c r="II45" s="2581">
        <f t="shared" si="92"/>
        <v>4.1627329057742246E-2</v>
      </c>
      <c r="IJ45" s="2581">
        <f t="shared" si="92"/>
        <v>2.7471059661620556E-2</v>
      </c>
      <c r="IK45" s="2581">
        <f t="shared" si="92"/>
        <v>-4.5990691348054336E-2</v>
      </c>
      <c r="IL45" s="2581">
        <f t="shared" si="92"/>
        <v>0.16337416436491736</v>
      </c>
      <c r="IM45" s="2581">
        <f t="shared" si="92"/>
        <v>0.44708137560294614</v>
      </c>
      <c r="IN45" s="2581">
        <f t="shared" si="92"/>
        <v>0.3085106382978724</v>
      </c>
      <c r="IO45" s="2581">
        <f t="shared" si="92"/>
        <v>0.13918777428768747</v>
      </c>
      <c r="IP45" s="2581">
        <f t="shared" si="92"/>
        <v>-0.98682139201197427</v>
      </c>
      <c r="IQ45" s="2581">
        <f t="shared" si="92"/>
        <v>-6.0856293331221556E-2</v>
      </c>
      <c r="IR45" s="2581">
        <f t="shared" si="92"/>
        <v>-0.73154173496928454</v>
      </c>
      <c r="IS45" s="2581">
        <f t="shared" si="92"/>
        <v>-0.68934431038191524</v>
      </c>
      <c r="IT45" s="2581">
        <f t="shared" si="92"/>
        <v>27.242819843342037</v>
      </c>
      <c r="IU45" s="2581">
        <f t="shared" si="92"/>
        <v>-0.47052465350177852</v>
      </c>
      <c r="IV45" s="2581">
        <f t="shared" si="92"/>
        <v>1.7167704928144083</v>
      </c>
      <c r="IW45" s="2581">
        <f t="shared" si="92"/>
        <v>1.5644592723152462</v>
      </c>
      <c r="IX45" s="2581">
        <f t="shared" si="92"/>
        <v>0.55729407414255339</v>
      </c>
      <c r="IY45" s="2581">
        <f t="shared" si="92"/>
        <v>-1</v>
      </c>
      <c r="IZ45" s="2581">
        <f t="shared" si="92"/>
        <v>-1</v>
      </c>
      <c r="JA45" s="2817"/>
      <c r="JB45" s="3571"/>
      <c r="JC45" s="3571">
        <f t="shared" ref="JC45:JM45" si="93">JC43/JB43-1</f>
        <v>0.21365365454350149</v>
      </c>
      <c r="JD45" s="3571">
        <f t="shared" si="93"/>
        <v>-4.5904150936486143E-2</v>
      </c>
      <c r="JE45" s="3571">
        <f t="shared" si="93"/>
        <v>-6.0040944277397479E-3</v>
      </c>
      <c r="JF45" s="3571">
        <f t="shared" si="93"/>
        <v>7.3932477964105292E-2</v>
      </c>
      <c r="JG45" s="3571">
        <f t="shared" si="93"/>
        <v>0.12449470659271178</v>
      </c>
      <c r="JH45" s="3571">
        <f t="shared" si="93"/>
        <v>0.15749221212856046</v>
      </c>
      <c r="JI45" s="3572">
        <f t="shared" si="93"/>
        <v>0.10026613623596803</v>
      </c>
      <c r="JJ45" s="3572">
        <f t="shared" si="93"/>
        <v>-8.8624360766327182E-2</v>
      </c>
      <c r="JK45" s="3573">
        <f t="shared" si="93"/>
        <v>-1.3649064080576534E-2</v>
      </c>
      <c r="JL45" s="3572">
        <f t="shared" si="93"/>
        <v>-8.0823339912852399E-2</v>
      </c>
      <c r="JM45" s="3572">
        <f t="shared" si="93"/>
        <v>4.4358851638291785E-2</v>
      </c>
      <c r="JN45" s="3572">
        <f>JN43/JM43-1</f>
        <v>0.20778836594650962</v>
      </c>
      <c r="JO45" s="3574">
        <f>JO43/JN43-1</f>
        <v>-0.68614385750766904</v>
      </c>
      <c r="JP45" s="3574">
        <f>JP43/JO43-1</f>
        <v>0.52273032565101407</v>
      </c>
      <c r="JQ45" s="3574">
        <f>JQ43/JP43-1</f>
        <v>0.42342671589940051</v>
      </c>
      <c r="JS45" s="4667"/>
      <c r="JT45" s="4670">
        <f>JT43/JS43-1</f>
        <v>6.5900976759851799</v>
      </c>
      <c r="JU45" s="2525"/>
      <c r="JV45" s="2566"/>
      <c r="JW45" s="2566"/>
      <c r="JX45" s="2566"/>
      <c r="JY45" s="2566"/>
      <c r="JZ45" s="2566"/>
      <c r="KA45" s="2566"/>
      <c r="KB45" s="2566"/>
      <c r="KC45" s="3076"/>
      <c r="KD45" s="2566"/>
      <c r="KE45" s="2566"/>
      <c r="KF45" s="2566"/>
      <c r="KG45" s="2566"/>
      <c r="KH45" s="2566"/>
      <c r="KI45" s="2566"/>
      <c r="KJ45" s="2566"/>
      <c r="KK45" s="2566"/>
      <c r="KL45" s="708"/>
      <c r="KM45" s="708"/>
      <c r="KN45" s="3294"/>
      <c r="KO45" s="3294"/>
      <c r="KP45" s="3294"/>
      <c r="KQ45" s="3294"/>
      <c r="KR45" s="3294"/>
      <c r="KS45" s="3294"/>
      <c r="KT45" s="3294"/>
      <c r="KU45" s="3294"/>
      <c r="KV45" s="3294"/>
      <c r="KW45" s="3294"/>
      <c r="KX45" s="3294"/>
      <c r="KY45" s="3294"/>
      <c r="KZ45" s="3294"/>
      <c r="LA45" s="3294"/>
      <c r="LB45" s="3294"/>
      <c r="LC45" s="3294"/>
      <c r="LD45" s="3294"/>
      <c r="LE45" s="3294"/>
      <c r="LF45" s="3294"/>
      <c r="LG45" s="3294"/>
      <c r="LH45" s="3294"/>
      <c r="LI45" s="3294"/>
      <c r="LJ45" s="3294"/>
      <c r="LK45" s="2525"/>
      <c r="LL45" s="2525"/>
      <c r="LM45" s="2525"/>
      <c r="LN45" s="2525"/>
      <c r="LO45" s="2525"/>
      <c r="LP45" s="2525"/>
      <c r="LQ45" s="2525"/>
      <c r="LR45" s="2525"/>
    </row>
    <row r="46" spans="1:330" ht="46.8">
      <c r="A46" s="2525"/>
      <c r="B46" s="2525"/>
      <c r="C46" s="2525"/>
      <c r="D46" s="2525"/>
      <c r="E46" s="2525"/>
      <c r="F46" s="2525"/>
      <c r="G46" s="2525"/>
      <c r="H46" s="2525"/>
      <c r="I46" s="2525"/>
      <c r="J46" s="2525"/>
      <c r="K46" s="2525"/>
      <c r="L46" s="2525"/>
      <c r="M46" s="2525"/>
      <c r="N46" s="2525"/>
      <c r="O46" s="2525"/>
      <c r="P46" s="2525"/>
      <c r="Q46" s="2525"/>
      <c r="R46" s="2525"/>
      <c r="S46" s="2525"/>
      <c r="T46" s="2525"/>
      <c r="U46" s="2525"/>
      <c r="V46" s="2525"/>
      <c r="W46" s="2525"/>
      <c r="X46" s="2525"/>
      <c r="Y46" s="2525"/>
      <c r="Z46" s="2525"/>
      <c r="AA46" s="2525"/>
      <c r="AB46" s="2525"/>
      <c r="AC46" s="2525"/>
      <c r="AD46" s="2525"/>
      <c r="AE46" s="2525"/>
      <c r="AF46" s="2525"/>
      <c r="AG46" s="2525"/>
      <c r="AH46" s="2525"/>
      <c r="AI46" s="2525"/>
      <c r="AJ46" s="2525"/>
      <c r="AK46" s="2525"/>
      <c r="AL46" s="2525"/>
      <c r="AM46" s="2525"/>
      <c r="AN46" s="2525"/>
      <c r="AO46" s="2525"/>
      <c r="AP46" s="2525"/>
      <c r="AQ46" s="2525"/>
      <c r="AR46" s="2525"/>
      <c r="AS46" s="2525"/>
      <c r="AT46" s="2525"/>
      <c r="AU46" s="2525"/>
      <c r="AV46" s="2525"/>
      <c r="AW46" s="2525"/>
      <c r="AX46" s="2525"/>
      <c r="AY46" s="2525"/>
      <c r="AZ46" s="2525"/>
      <c r="BA46" s="2525"/>
      <c r="BB46" s="2525"/>
      <c r="BC46" s="2525"/>
      <c r="BD46" s="2525"/>
      <c r="BE46" s="2525"/>
      <c r="BF46" s="2525"/>
      <c r="BG46" s="2525"/>
      <c r="BH46" s="2525"/>
      <c r="BI46" s="2525"/>
      <c r="BJ46" s="2525"/>
      <c r="BK46" s="2525"/>
      <c r="BL46" s="2525"/>
      <c r="BM46" s="2525"/>
      <c r="BN46" s="2525"/>
      <c r="BO46" s="2525"/>
      <c r="BP46" s="2525"/>
      <c r="BQ46" s="2525"/>
      <c r="BR46" s="2525"/>
      <c r="BS46" s="2525"/>
      <c r="BT46" s="2525"/>
      <c r="BU46" s="2525"/>
      <c r="BV46" s="2525"/>
      <c r="BW46" s="2525"/>
      <c r="BX46" s="2525"/>
      <c r="BY46" s="2525"/>
      <c r="BZ46" s="2525"/>
      <c r="CA46" s="2525"/>
      <c r="CB46" s="2525"/>
      <c r="CC46" s="2525"/>
      <c r="CD46" s="2525"/>
      <c r="CE46" s="2525"/>
      <c r="CF46" s="2525"/>
      <c r="CG46" s="2525"/>
      <c r="CH46" s="2525"/>
      <c r="CI46" s="2525"/>
      <c r="CJ46" s="2525"/>
      <c r="CK46" s="2525"/>
      <c r="CL46" s="2525"/>
      <c r="CM46" s="2525"/>
      <c r="CN46" s="2525"/>
      <c r="CO46" s="2525"/>
      <c r="CP46" s="2525"/>
      <c r="CQ46" s="2525"/>
      <c r="CR46" s="2525"/>
      <c r="CS46" s="2525"/>
      <c r="CT46" s="2525"/>
      <c r="CU46" s="2525"/>
      <c r="CV46" s="2525"/>
      <c r="CW46" s="2525"/>
      <c r="CX46" s="2525"/>
      <c r="CY46" s="2525"/>
      <c r="CZ46" s="2525"/>
      <c r="DA46" s="2525"/>
      <c r="DB46" s="2525"/>
      <c r="DC46" s="2525"/>
      <c r="DD46" s="2525"/>
      <c r="DE46" s="2525"/>
      <c r="DF46" s="2525"/>
      <c r="DG46" s="2525"/>
      <c r="DH46" s="2525"/>
      <c r="DI46" s="2525"/>
      <c r="DJ46" s="2525"/>
      <c r="DK46" s="2525"/>
      <c r="DL46" s="2525"/>
      <c r="DM46" s="2525"/>
      <c r="DN46" s="2525"/>
      <c r="DO46" s="2525"/>
      <c r="DP46" s="2525"/>
      <c r="DQ46" s="2525"/>
      <c r="DR46" s="2525"/>
      <c r="DS46" s="2525"/>
      <c r="DT46" s="2525"/>
      <c r="DU46" s="2525"/>
      <c r="DV46" s="2525"/>
      <c r="DW46" s="2525"/>
      <c r="DX46" s="2525"/>
      <c r="DY46" s="2525"/>
      <c r="DZ46" s="2525"/>
      <c r="EA46" s="2525"/>
      <c r="EB46" s="2525"/>
      <c r="EC46" s="2525"/>
      <c r="ED46" s="2525"/>
      <c r="EE46" s="2525"/>
      <c r="EF46" s="2525"/>
      <c r="EG46" s="2525"/>
      <c r="EH46" s="2525"/>
      <c r="EI46" s="2525"/>
      <c r="EJ46" s="2525"/>
      <c r="EK46" s="2525"/>
      <c r="EL46" s="2525"/>
      <c r="EM46" s="2525"/>
      <c r="EN46" s="2525"/>
      <c r="EO46" s="2525"/>
      <c r="EP46" s="2525"/>
      <c r="EQ46" s="2525"/>
      <c r="ER46" s="2525"/>
      <c r="ES46" s="2525"/>
      <c r="ET46" s="2525"/>
      <c r="EU46" s="2525"/>
      <c r="EV46" s="2525"/>
      <c r="EW46" s="2525"/>
      <c r="EX46" s="2525"/>
      <c r="EY46" s="2525"/>
      <c r="EZ46" s="2525"/>
      <c r="FA46" s="2525"/>
      <c r="FB46" s="2525"/>
      <c r="FC46" s="2525"/>
      <c r="FD46" s="708"/>
      <c r="FE46" s="708"/>
      <c r="FF46" s="708"/>
      <c r="FG46" s="708"/>
      <c r="FH46" s="708"/>
      <c r="FI46" s="708"/>
      <c r="FJ46" s="708"/>
      <c r="FK46" s="708"/>
      <c r="FL46" s="708"/>
      <c r="FM46" s="708"/>
      <c r="FN46" s="708"/>
      <c r="FO46" s="708"/>
      <c r="FP46" s="708"/>
      <c r="FQ46" s="708"/>
      <c r="FR46" s="708"/>
      <c r="FS46" s="708"/>
      <c r="FT46" s="708"/>
      <c r="FU46" s="708"/>
      <c r="FV46" s="708"/>
      <c r="FW46" s="708"/>
      <c r="FX46" s="3798" t="s">
        <v>1617</v>
      </c>
      <c r="FY46" s="5372" t="s">
        <v>1641</v>
      </c>
      <c r="FZ46" s="5372"/>
      <c r="GA46" s="708"/>
      <c r="GB46" s="708"/>
      <c r="GC46" s="708"/>
      <c r="GD46" s="708"/>
      <c r="GE46" s="708"/>
      <c r="GF46" s="708"/>
      <c r="GG46" s="708"/>
      <c r="GH46" s="708"/>
      <c r="GI46" s="708"/>
      <c r="GJ46" s="708"/>
      <c r="GK46" s="708"/>
      <c r="GL46" s="708"/>
      <c r="GM46" s="708"/>
      <c r="GN46" s="708"/>
      <c r="GO46" s="708"/>
      <c r="GP46" s="708"/>
      <c r="GQ46" s="708"/>
      <c r="GR46" s="708"/>
      <c r="GS46" s="708"/>
      <c r="GT46" s="708"/>
      <c r="GU46" s="708"/>
      <c r="GV46" s="708"/>
      <c r="GW46" s="708"/>
      <c r="GX46" s="708"/>
      <c r="GY46" s="708"/>
      <c r="GZ46" s="708"/>
      <c r="HA46" s="708"/>
      <c r="HB46" s="708"/>
      <c r="HC46" s="708"/>
      <c r="HD46" s="708"/>
      <c r="HE46" s="708"/>
      <c r="HF46" s="708"/>
      <c r="HG46" s="708"/>
      <c r="HH46" s="708"/>
      <c r="HI46" s="708"/>
      <c r="HJ46" s="708"/>
      <c r="HK46" s="708"/>
      <c r="HL46" s="708"/>
      <c r="HM46" s="708"/>
      <c r="HN46" s="708"/>
      <c r="HO46" s="708"/>
      <c r="HP46" s="708"/>
      <c r="HQ46" s="708"/>
      <c r="HR46" s="708"/>
      <c r="HS46" s="708"/>
      <c r="HT46" s="708"/>
      <c r="HU46" s="708"/>
      <c r="HV46" s="708"/>
      <c r="HW46" s="708"/>
      <c r="HX46" s="708"/>
      <c r="HY46" s="708"/>
      <c r="HZ46" s="708"/>
      <c r="IA46" s="708"/>
      <c r="IB46" s="708"/>
      <c r="IC46" s="708"/>
      <c r="ID46" s="708"/>
      <c r="IE46" s="708"/>
      <c r="IF46" s="708"/>
      <c r="IG46" s="708"/>
      <c r="IH46" s="708"/>
      <c r="II46" s="708"/>
      <c r="IJ46" s="708"/>
      <c r="IK46" s="708"/>
      <c r="IL46" s="708"/>
      <c r="IM46" s="708"/>
      <c r="IN46" s="708"/>
      <c r="IO46" s="708"/>
      <c r="IP46" s="708"/>
      <c r="IQ46" s="708"/>
      <c r="IR46" s="708"/>
      <c r="IS46" s="708"/>
      <c r="IT46" s="708"/>
      <c r="IU46" s="708"/>
      <c r="IV46" s="708"/>
      <c r="IW46" s="708"/>
      <c r="IX46" s="708"/>
      <c r="IY46" s="708"/>
      <c r="IZ46" s="708"/>
      <c r="JA46" s="708"/>
      <c r="JB46" s="2525"/>
      <c r="JC46" s="2525"/>
      <c r="JD46" s="2525"/>
      <c r="JE46" s="2525"/>
      <c r="JF46" s="2525"/>
      <c r="JG46" s="2525"/>
      <c r="JH46" s="2525"/>
      <c r="JI46" s="2525"/>
      <c r="JJ46" s="2525"/>
      <c r="JK46" s="2525"/>
      <c r="JL46" s="2525"/>
      <c r="JM46" s="2525"/>
      <c r="JN46" s="2525"/>
      <c r="JO46" s="2525"/>
      <c r="JP46" s="2525"/>
      <c r="JQ46" s="2525"/>
      <c r="JS46" s="2525"/>
      <c r="JT46" s="2525"/>
      <c r="JU46" s="2525"/>
      <c r="JV46" s="2525"/>
      <c r="JW46" s="2525"/>
      <c r="JX46" s="2525"/>
      <c r="JY46" s="2525"/>
      <c r="JZ46" s="2525"/>
      <c r="KA46" s="708"/>
      <c r="KB46" s="708"/>
      <c r="KC46" s="708"/>
      <c r="KD46" s="708"/>
      <c r="KE46" s="708"/>
      <c r="KF46" s="708"/>
      <c r="KG46" s="708"/>
      <c r="KH46" s="708"/>
      <c r="KI46" s="708"/>
      <c r="KJ46" s="421"/>
      <c r="KK46" s="421"/>
      <c r="KL46" s="708"/>
      <c r="KM46" s="708"/>
      <c r="KN46" s="2525"/>
      <c r="KO46" s="2525"/>
      <c r="KP46" s="2525"/>
      <c r="KQ46" s="2525"/>
      <c r="KR46" s="2525"/>
      <c r="KS46" s="2525"/>
      <c r="KT46" s="2525"/>
      <c r="KU46" s="2525"/>
      <c r="KV46" s="2525"/>
      <c r="KW46" s="2525"/>
      <c r="KX46" s="2525"/>
      <c r="KY46" s="2525"/>
      <c r="KZ46" s="2525"/>
      <c r="LA46" s="2525"/>
      <c r="LB46" s="2525"/>
      <c r="LC46" s="2525"/>
      <c r="LD46" s="2525"/>
      <c r="LE46" s="2525"/>
      <c r="LF46" s="2525"/>
      <c r="LG46" s="2525"/>
      <c r="LH46" s="2525"/>
      <c r="LI46" s="2525"/>
      <c r="LJ46" s="2525"/>
      <c r="LK46" s="2525"/>
      <c r="LL46" s="2525"/>
      <c r="LM46" s="2525"/>
      <c r="LN46" s="2525"/>
      <c r="LO46" s="2525"/>
      <c r="LP46" s="2525"/>
      <c r="LQ46" s="2525"/>
      <c r="LR46" s="2525"/>
    </row>
    <row r="47" spans="1:330">
      <c r="A47" s="2525"/>
      <c r="B47" s="2525"/>
      <c r="C47" s="2525"/>
      <c r="D47" s="2525"/>
      <c r="E47" s="2525"/>
      <c r="F47" s="2525"/>
      <c r="G47" s="2525"/>
      <c r="H47" s="2525"/>
      <c r="I47" s="2525"/>
      <c r="J47" s="2525"/>
      <c r="K47" s="2525"/>
      <c r="L47" s="2525"/>
      <c r="M47" s="2525"/>
      <c r="N47" s="2525"/>
      <c r="O47" s="2525"/>
      <c r="P47" s="2525"/>
      <c r="Q47" s="2525"/>
      <c r="R47" s="2525"/>
      <c r="S47" s="2525"/>
      <c r="T47" s="2525"/>
      <c r="U47" s="2525"/>
      <c r="V47" s="2525"/>
      <c r="W47" s="2525"/>
      <c r="X47" s="2525"/>
      <c r="Y47" s="2525"/>
      <c r="Z47" s="2525"/>
      <c r="AA47" s="2525"/>
      <c r="AB47" s="2525"/>
      <c r="AC47" s="2525"/>
      <c r="AD47" s="2525"/>
      <c r="AE47" s="2525"/>
      <c r="AF47" s="2525"/>
      <c r="AG47" s="2525"/>
      <c r="AH47" s="2525"/>
      <c r="AI47" s="2525"/>
      <c r="AJ47" s="2525"/>
      <c r="AK47" s="2525"/>
      <c r="AL47" s="2525"/>
      <c r="AM47" s="2525"/>
      <c r="AN47" s="2525"/>
      <c r="AO47" s="2525"/>
      <c r="AP47" s="2525"/>
      <c r="AQ47" s="2525"/>
      <c r="AR47" s="2525"/>
      <c r="AS47" s="2525"/>
      <c r="AT47" s="2525"/>
      <c r="AU47" s="2525"/>
      <c r="AV47" s="2525"/>
      <c r="AW47" s="2525"/>
      <c r="AX47" s="2525"/>
      <c r="AY47" s="2525"/>
      <c r="AZ47" s="2525"/>
      <c r="BA47" s="2525"/>
      <c r="BB47" s="2525"/>
      <c r="BC47" s="2525"/>
      <c r="BD47" s="2525"/>
      <c r="BE47" s="2525"/>
      <c r="BF47" s="2525"/>
      <c r="BG47" s="2525"/>
      <c r="BH47" s="2525"/>
      <c r="BI47" s="2525"/>
      <c r="BJ47" s="2525"/>
      <c r="BK47" s="2525"/>
      <c r="BL47" s="2525"/>
      <c r="BM47" s="2525"/>
      <c r="BN47" s="2525"/>
      <c r="BO47" s="2525"/>
      <c r="BP47" s="2525"/>
      <c r="BQ47" s="2525"/>
      <c r="BR47" s="2525"/>
      <c r="BS47" s="2525"/>
      <c r="BT47" s="2525"/>
      <c r="BU47" s="2525"/>
      <c r="BV47" s="2525"/>
      <c r="BW47" s="2525"/>
      <c r="BX47" s="2525"/>
      <c r="BY47" s="2525"/>
      <c r="BZ47" s="2525"/>
      <c r="CA47" s="2525"/>
      <c r="CB47" s="2525"/>
      <c r="CC47" s="2525"/>
      <c r="CD47" s="2525"/>
      <c r="CE47" s="2525"/>
      <c r="CF47" s="2525"/>
      <c r="CG47" s="2525"/>
      <c r="CH47" s="2525"/>
      <c r="CI47" s="2525"/>
      <c r="CJ47" s="2525"/>
      <c r="CK47" s="2525"/>
      <c r="CL47" s="2525"/>
      <c r="CM47" s="2525"/>
      <c r="CN47" s="2525"/>
      <c r="CO47" s="2525"/>
      <c r="CP47" s="2525"/>
      <c r="CQ47" s="2525"/>
      <c r="CR47" s="2525"/>
      <c r="CS47" s="2525"/>
      <c r="CT47" s="2525"/>
      <c r="CU47" s="2525"/>
      <c r="CV47" s="2525"/>
      <c r="CW47" s="2525"/>
      <c r="CX47" s="2525"/>
      <c r="CY47" s="2525"/>
      <c r="CZ47" s="2525"/>
      <c r="DA47" s="2525"/>
      <c r="DB47" s="2525"/>
      <c r="DC47" s="2525"/>
      <c r="DD47" s="2525"/>
      <c r="DE47" s="2525"/>
      <c r="DF47" s="2525"/>
      <c r="DG47" s="2525"/>
      <c r="DH47" s="2525"/>
      <c r="DI47" s="2525"/>
      <c r="DJ47" s="2525"/>
      <c r="DK47" s="2525"/>
      <c r="DL47" s="2525"/>
      <c r="DM47" s="2525"/>
      <c r="DN47" s="2525"/>
      <c r="DO47" s="2525"/>
      <c r="DP47" s="2525"/>
      <c r="DQ47" s="2525"/>
      <c r="DR47" s="2525"/>
      <c r="DS47" s="2525"/>
      <c r="DT47" s="2525"/>
      <c r="DU47" s="2525"/>
      <c r="DV47" s="2525"/>
      <c r="DW47" s="2525"/>
      <c r="DX47" s="2525"/>
      <c r="DY47" s="2525"/>
      <c r="DZ47" s="2525"/>
      <c r="EA47" s="2525"/>
      <c r="EB47" s="2525"/>
      <c r="EC47" s="2525"/>
      <c r="ED47" s="2525"/>
      <c r="EE47" s="2525"/>
      <c r="EF47" s="2525"/>
      <c r="EG47" s="2525"/>
      <c r="EH47" s="2525"/>
      <c r="EI47" s="2525"/>
      <c r="EJ47" s="2525"/>
      <c r="EK47" s="2525"/>
      <c r="EL47" s="2525"/>
      <c r="EM47" s="2525"/>
      <c r="EN47" s="2525"/>
      <c r="EO47" s="2525"/>
      <c r="EP47" s="2525"/>
      <c r="EQ47" s="2525"/>
      <c r="ER47" s="2525"/>
      <c r="ES47" s="2525"/>
      <c r="ET47" s="2525"/>
      <c r="EU47" s="2525"/>
      <c r="EV47" s="2525"/>
      <c r="EW47" s="2525"/>
      <c r="EX47" s="2525"/>
      <c r="EY47" s="2525"/>
      <c r="EZ47" s="2525"/>
      <c r="FA47" s="2525"/>
      <c r="FB47" s="2525"/>
      <c r="FC47" s="2525"/>
      <c r="FD47" s="708"/>
      <c r="FE47" s="708"/>
      <c r="FF47" s="708"/>
      <c r="FG47" s="708"/>
      <c r="FH47" s="708"/>
      <c r="FI47" s="708"/>
      <c r="FJ47" s="708"/>
      <c r="FK47" s="708"/>
      <c r="FL47" s="708"/>
      <c r="FM47" s="708"/>
      <c r="FN47" s="708"/>
      <c r="FO47" s="708"/>
      <c r="FP47" s="708"/>
      <c r="FQ47" s="708"/>
      <c r="FR47" s="708"/>
      <c r="FS47" s="708"/>
      <c r="FT47" s="708"/>
      <c r="FU47" s="708"/>
      <c r="FV47" s="708"/>
      <c r="FW47" s="708"/>
      <c r="FX47" s="708"/>
      <c r="FY47" s="708"/>
      <c r="FZ47" s="708"/>
      <c r="GA47" s="708"/>
      <c r="GB47" s="708"/>
      <c r="GC47" s="708"/>
      <c r="GD47" s="708"/>
      <c r="GE47" s="708"/>
      <c r="GF47" s="708"/>
      <c r="GG47" s="708"/>
      <c r="GH47" s="708"/>
      <c r="GI47" s="708"/>
      <c r="GJ47" s="708"/>
      <c r="GK47" s="708"/>
      <c r="GL47" s="708"/>
      <c r="GM47" s="708"/>
      <c r="GN47" s="708"/>
      <c r="GO47" s="708"/>
      <c r="GP47" s="708"/>
      <c r="GQ47" s="708"/>
      <c r="GR47" s="708"/>
      <c r="GS47" s="708"/>
      <c r="GT47" s="708"/>
      <c r="GU47" s="708"/>
      <c r="GV47" s="708"/>
      <c r="GW47" s="708"/>
      <c r="GX47" s="708"/>
      <c r="GY47" s="708"/>
      <c r="GZ47" s="708"/>
      <c r="HA47" s="708"/>
      <c r="HB47" s="708"/>
      <c r="HC47" s="708"/>
      <c r="HD47" s="708"/>
      <c r="HE47" s="708"/>
      <c r="HF47" s="708"/>
      <c r="HG47" s="708"/>
      <c r="HH47" s="708"/>
      <c r="HI47" s="708"/>
      <c r="HJ47" s="708"/>
      <c r="HK47" s="708"/>
      <c r="HL47" s="708"/>
      <c r="HM47" s="708"/>
      <c r="HN47" s="708"/>
      <c r="HO47" s="708"/>
      <c r="HP47" s="708"/>
      <c r="HQ47" s="708"/>
      <c r="HR47" s="708"/>
      <c r="HS47" s="708"/>
      <c r="HT47" s="708"/>
      <c r="HU47" s="708"/>
      <c r="HV47" s="708"/>
      <c r="HW47" s="708"/>
      <c r="HX47" s="708"/>
      <c r="HY47" s="708"/>
      <c r="HZ47" s="708"/>
      <c r="IA47" s="708"/>
      <c r="IB47" s="708"/>
      <c r="IC47" s="708"/>
      <c r="ID47" s="708"/>
      <c r="IE47" s="708"/>
      <c r="IF47" s="708"/>
      <c r="IG47" s="708"/>
      <c r="IH47" s="708"/>
      <c r="II47" s="708"/>
      <c r="IJ47" s="708"/>
      <c r="IK47" s="708"/>
      <c r="IL47" s="708"/>
      <c r="IM47" s="708"/>
      <c r="IN47" s="708"/>
      <c r="IO47" s="708"/>
      <c r="IP47" s="708"/>
      <c r="IQ47" s="708"/>
      <c r="IR47" s="708"/>
      <c r="IS47" s="708"/>
      <c r="IT47" s="708"/>
      <c r="IU47" s="708"/>
      <c r="IV47" s="708"/>
      <c r="IW47" s="708"/>
      <c r="IX47" s="708"/>
      <c r="IY47" s="708"/>
      <c r="IZ47" s="708"/>
      <c r="JA47" s="708"/>
      <c r="JB47" s="2525"/>
      <c r="JC47" s="2525"/>
      <c r="JD47" s="2525"/>
      <c r="JE47" s="2525"/>
      <c r="JF47" s="2525"/>
      <c r="JG47" s="2525"/>
      <c r="JH47" s="2525"/>
      <c r="JI47" s="2525"/>
      <c r="JJ47" s="2525"/>
      <c r="JK47" s="2525"/>
      <c r="JL47" s="2525"/>
      <c r="JM47" s="2525"/>
      <c r="JN47" s="2525"/>
      <c r="JO47" s="2525"/>
      <c r="JP47" s="2525"/>
      <c r="JQ47" s="2525"/>
      <c r="JS47" s="2525"/>
      <c r="JT47" s="2525"/>
      <c r="JU47" s="2525"/>
      <c r="JV47" s="2525"/>
      <c r="JW47" s="2525"/>
      <c r="JX47" s="2525"/>
      <c r="JY47" s="2525"/>
      <c r="JZ47" s="2525"/>
      <c r="KA47" s="708"/>
      <c r="KB47" s="708"/>
      <c r="KC47" s="708"/>
      <c r="KD47" s="708"/>
      <c r="KE47" s="708"/>
      <c r="KF47" s="708"/>
      <c r="KG47" s="708"/>
      <c r="KH47" s="708"/>
      <c r="KI47" s="708"/>
      <c r="KJ47" s="421"/>
      <c r="KK47" s="421"/>
      <c r="KL47" s="708"/>
      <c r="KM47" s="708"/>
      <c r="KN47" s="2525"/>
      <c r="KO47" s="2525"/>
      <c r="KP47" s="2525"/>
      <c r="KQ47" s="2525"/>
      <c r="KR47" s="2525"/>
      <c r="KS47" s="2525"/>
      <c r="KT47" s="2525"/>
      <c r="KU47" s="2525"/>
      <c r="KV47" s="2525"/>
      <c r="KW47" s="2525"/>
      <c r="KX47" s="2525"/>
      <c r="KY47" s="2525"/>
      <c r="KZ47" s="2525"/>
      <c r="LA47" s="2525"/>
      <c r="LB47" s="2525"/>
      <c r="LC47" s="2525"/>
      <c r="LD47" s="2525"/>
      <c r="LE47" s="2525"/>
      <c r="LF47" s="2525"/>
      <c r="LG47" s="2525"/>
      <c r="LH47" s="2525"/>
      <c r="LI47" s="2525"/>
      <c r="LJ47" s="2525"/>
      <c r="LK47" s="2525"/>
      <c r="LL47" s="2525"/>
      <c r="LM47" s="2525"/>
      <c r="LN47" s="2525"/>
      <c r="LO47" s="2525"/>
      <c r="LP47" s="2525"/>
      <c r="LQ47" s="2525"/>
      <c r="LR47" s="2525"/>
    </row>
    <row r="48" spans="1:330">
      <c r="A48" s="2525"/>
      <c r="B48" s="2525"/>
      <c r="C48" s="2525"/>
      <c r="D48" s="2525"/>
      <c r="E48" s="2525"/>
      <c r="F48" s="2525"/>
      <c r="G48" s="2525"/>
      <c r="H48" s="2525"/>
      <c r="I48" s="2525"/>
      <c r="J48" s="2525"/>
      <c r="K48" s="2525"/>
      <c r="L48" s="2525"/>
      <c r="M48" s="2525"/>
      <c r="N48" s="2525"/>
      <c r="O48" s="2525"/>
      <c r="P48" s="2525"/>
      <c r="Q48" s="2525"/>
      <c r="R48" s="2525"/>
      <c r="S48" s="2525"/>
      <c r="T48" s="2525"/>
      <c r="U48" s="2525"/>
      <c r="V48" s="2525"/>
      <c r="W48" s="2525"/>
      <c r="X48" s="2525"/>
      <c r="Y48" s="2525"/>
      <c r="Z48" s="2525"/>
      <c r="AA48" s="2525"/>
      <c r="AB48" s="2525"/>
      <c r="AC48" s="2525"/>
      <c r="AD48" s="2525"/>
      <c r="AE48" s="2525"/>
      <c r="AF48" s="2525"/>
      <c r="AG48" s="2525"/>
      <c r="AH48" s="2525"/>
      <c r="AI48" s="2525"/>
      <c r="AJ48" s="2525"/>
      <c r="AK48" s="2525"/>
      <c r="AL48" s="2525"/>
      <c r="AM48" s="2525"/>
      <c r="AN48" s="2525"/>
      <c r="AO48" s="2525"/>
      <c r="AP48" s="2525"/>
      <c r="AQ48" s="2525"/>
      <c r="AR48" s="2525"/>
      <c r="AS48" s="2525"/>
      <c r="AT48" s="2525"/>
      <c r="AU48" s="2525"/>
      <c r="AV48" s="2525"/>
      <c r="AW48" s="2525"/>
      <c r="AX48" s="2525"/>
      <c r="AY48" s="2525"/>
      <c r="AZ48" s="2525"/>
      <c r="BA48" s="2525"/>
      <c r="BB48" s="2525"/>
      <c r="BC48" s="2525"/>
      <c r="BD48" s="2525"/>
      <c r="BE48" s="2525"/>
      <c r="BF48" s="2525"/>
      <c r="BG48" s="2525"/>
      <c r="BH48" s="2525"/>
      <c r="BI48" s="2525"/>
      <c r="BJ48" s="2525"/>
      <c r="BK48" s="2525"/>
      <c r="BL48" s="2525"/>
      <c r="BM48" s="2525"/>
      <c r="BN48" s="2525"/>
      <c r="BO48" s="2525"/>
      <c r="BP48" s="2525"/>
      <c r="BQ48" s="2525"/>
      <c r="BR48" s="2525"/>
      <c r="BS48" s="2525"/>
      <c r="BT48" s="2525"/>
      <c r="BU48" s="2525"/>
      <c r="BV48" s="2525"/>
      <c r="BW48" s="2525"/>
      <c r="BX48" s="2525"/>
      <c r="BY48" s="2525"/>
      <c r="BZ48" s="2525"/>
      <c r="CA48" s="2525"/>
      <c r="CB48" s="2525"/>
      <c r="CC48" s="2525"/>
      <c r="CD48" s="2525"/>
      <c r="CE48" s="2525"/>
      <c r="CF48" s="2525"/>
      <c r="CG48" s="2525"/>
      <c r="CH48" s="2525"/>
      <c r="CI48" s="2525"/>
      <c r="CJ48" s="2525"/>
      <c r="CK48" s="2525"/>
      <c r="CL48" s="2525"/>
      <c r="CM48" s="2525"/>
      <c r="CN48" s="2525"/>
      <c r="CO48" s="2525"/>
      <c r="CP48" s="2525"/>
      <c r="CQ48" s="2525"/>
      <c r="CR48" s="2525"/>
      <c r="CS48" s="2525"/>
      <c r="CT48" s="2525"/>
      <c r="CU48" s="2525"/>
      <c r="CV48" s="2525"/>
      <c r="CW48" s="2525"/>
      <c r="CX48" s="2525"/>
      <c r="CY48" s="2525"/>
      <c r="CZ48" s="2525"/>
      <c r="DA48" s="2525"/>
      <c r="DB48" s="2525"/>
      <c r="DC48" s="2525"/>
      <c r="DD48" s="2525"/>
      <c r="DE48" s="2525"/>
      <c r="DF48" s="2525"/>
      <c r="DG48" s="2525"/>
      <c r="DH48" s="2525"/>
      <c r="DI48" s="2525"/>
      <c r="DJ48" s="2525"/>
      <c r="DK48" s="2525"/>
      <c r="DL48" s="2525"/>
      <c r="DM48" s="2525"/>
      <c r="DN48" s="2525"/>
      <c r="DO48" s="2525"/>
      <c r="DP48" s="2525"/>
      <c r="DQ48" s="2525"/>
      <c r="DR48" s="2525"/>
      <c r="DS48" s="2525"/>
      <c r="DT48" s="2525"/>
      <c r="DU48" s="2525"/>
      <c r="DV48" s="2525"/>
      <c r="DW48" s="2525"/>
      <c r="DX48" s="2525"/>
      <c r="DY48" s="2525"/>
      <c r="DZ48" s="2525"/>
      <c r="EA48" s="2525"/>
      <c r="EB48" s="2525"/>
      <c r="EC48" s="2525"/>
      <c r="ED48" s="2525"/>
      <c r="EE48" s="2525"/>
      <c r="EF48" s="2525"/>
      <c r="EG48" s="2525"/>
      <c r="EH48" s="2525"/>
      <c r="EI48" s="2525"/>
      <c r="EJ48" s="2525"/>
      <c r="EK48" s="2525"/>
      <c r="EL48" s="2525"/>
      <c r="EM48" s="2525"/>
      <c r="EN48" s="2525"/>
      <c r="EO48" s="2525"/>
      <c r="EP48" s="2525"/>
      <c r="EQ48" s="2525"/>
      <c r="ER48" s="2525"/>
      <c r="ES48" s="2525"/>
      <c r="ET48" s="2525"/>
      <c r="EU48" s="2525"/>
      <c r="EV48" s="2525"/>
      <c r="EW48" s="2525"/>
      <c r="EX48" s="2525"/>
      <c r="EY48" s="2525"/>
      <c r="EZ48" s="2525"/>
      <c r="FA48" s="2525"/>
      <c r="FB48" s="2525"/>
      <c r="FC48" s="2525"/>
      <c r="FD48" s="708"/>
      <c r="FE48" s="708"/>
      <c r="FF48" s="708"/>
      <c r="FG48" s="708"/>
      <c r="FH48" s="708"/>
      <c r="FI48" s="708"/>
      <c r="FJ48" s="708"/>
      <c r="FK48" s="708"/>
      <c r="FL48" s="708"/>
      <c r="FM48" s="708"/>
      <c r="FN48" s="708"/>
      <c r="FO48" s="708"/>
      <c r="FP48" s="708"/>
      <c r="FQ48" s="708"/>
      <c r="FR48" s="708"/>
      <c r="FS48" s="708"/>
      <c r="FT48" s="708"/>
      <c r="FU48" s="708"/>
      <c r="FV48" s="708"/>
      <c r="FW48" s="708"/>
      <c r="FX48" s="708"/>
      <c r="FY48" s="708"/>
      <c r="FZ48" s="708"/>
      <c r="GA48" s="708"/>
      <c r="GB48" s="708"/>
      <c r="GC48" s="708"/>
      <c r="GD48" s="708"/>
      <c r="GE48" s="708"/>
      <c r="GF48" s="708"/>
      <c r="GG48" s="708"/>
      <c r="GH48" s="708"/>
      <c r="GI48" s="708"/>
      <c r="GJ48" s="708"/>
      <c r="GK48" s="708"/>
      <c r="GL48" s="708"/>
      <c r="GM48" s="708"/>
      <c r="GN48" s="708"/>
      <c r="GO48" s="708"/>
      <c r="GP48" s="708"/>
      <c r="GQ48" s="708"/>
      <c r="GR48" s="708"/>
      <c r="GS48" s="708"/>
      <c r="GT48" s="708"/>
      <c r="GU48" s="708"/>
      <c r="GV48" s="708"/>
      <c r="GW48" s="708"/>
      <c r="GX48" s="708"/>
      <c r="GY48" s="708"/>
      <c r="GZ48" s="708"/>
      <c r="HA48" s="708"/>
      <c r="HB48" s="708"/>
      <c r="HC48" s="708"/>
      <c r="HD48" s="708"/>
      <c r="HE48" s="708"/>
      <c r="HF48" s="708"/>
      <c r="HG48" s="708"/>
      <c r="HH48" s="708"/>
      <c r="HI48" s="708"/>
      <c r="HJ48" s="708"/>
      <c r="HK48" s="708"/>
      <c r="HL48" s="708"/>
      <c r="HM48" s="708"/>
      <c r="HN48" s="708"/>
      <c r="HO48" s="708"/>
      <c r="HP48" s="708"/>
      <c r="HQ48" s="708"/>
      <c r="HR48" s="708"/>
      <c r="HS48" s="708"/>
      <c r="HT48" s="708"/>
      <c r="HU48" s="708"/>
      <c r="HV48" s="708"/>
      <c r="HW48" s="708"/>
      <c r="HX48" s="708"/>
      <c r="HY48" s="708"/>
      <c r="HZ48" s="708"/>
      <c r="IA48" s="708"/>
      <c r="IB48" s="708"/>
      <c r="IC48" s="708"/>
      <c r="ID48" s="708"/>
      <c r="IE48" s="708"/>
      <c r="IF48" s="708"/>
      <c r="IG48" s="708"/>
      <c r="IH48" s="708"/>
      <c r="II48" s="708"/>
      <c r="IJ48" s="708"/>
      <c r="IK48" s="708"/>
      <c r="IL48" s="708"/>
      <c r="IM48" s="708"/>
      <c r="IN48" s="708"/>
      <c r="IO48" s="708"/>
      <c r="IP48" s="708"/>
      <c r="IQ48" s="708"/>
      <c r="IR48" s="708"/>
      <c r="IS48" s="708"/>
      <c r="IT48" s="708"/>
      <c r="IU48" s="708"/>
      <c r="IV48" s="708"/>
      <c r="IW48" s="708"/>
      <c r="IX48" s="708"/>
      <c r="IY48" s="708"/>
      <c r="IZ48" s="708"/>
      <c r="JA48" s="708"/>
      <c r="JB48" s="2525"/>
      <c r="JC48" s="2525"/>
      <c r="JD48" s="2525"/>
      <c r="JE48" s="2525"/>
      <c r="JF48" s="2525"/>
      <c r="JG48" s="2525"/>
      <c r="JH48" s="2525"/>
      <c r="JI48" s="2525"/>
      <c r="JJ48" s="2525"/>
      <c r="JK48" s="2525"/>
      <c r="JL48" s="2525"/>
      <c r="JM48" s="2525"/>
      <c r="JN48" s="2525"/>
      <c r="JO48" s="2525"/>
      <c r="JP48" s="2525"/>
      <c r="JQ48" s="2525"/>
      <c r="JS48" s="2525"/>
      <c r="JT48" s="2525"/>
      <c r="JU48" s="2525"/>
      <c r="JV48" s="2525"/>
      <c r="JW48" s="2525"/>
      <c r="JX48" s="2525"/>
      <c r="JY48" s="2525"/>
      <c r="JZ48" s="2525"/>
      <c r="KA48" s="708"/>
      <c r="KB48" s="708"/>
      <c r="KC48" s="708"/>
      <c r="KD48" s="708"/>
      <c r="KE48" s="708"/>
      <c r="KF48" s="708"/>
      <c r="KG48" s="708"/>
      <c r="KH48" s="708"/>
      <c r="KI48" s="708"/>
      <c r="KJ48" s="421"/>
      <c r="KK48" s="421"/>
      <c r="KL48" s="708"/>
      <c r="KM48" s="708"/>
      <c r="KN48" s="2525"/>
      <c r="KO48" s="2525"/>
      <c r="KP48" s="2525"/>
      <c r="KQ48" s="2525"/>
      <c r="KR48" s="2525"/>
      <c r="KS48" s="2525"/>
      <c r="KT48" s="2525"/>
      <c r="KU48" s="2525"/>
      <c r="KV48" s="2525"/>
      <c r="KW48" s="2525"/>
      <c r="KX48" s="2525"/>
      <c r="KY48" s="2525"/>
      <c r="KZ48" s="2525"/>
      <c r="LA48" s="2525"/>
      <c r="LB48" s="2525"/>
      <c r="LC48" s="2525"/>
      <c r="LD48" s="2525"/>
      <c r="LE48" s="2525"/>
      <c r="LF48" s="2525"/>
      <c r="LG48" s="2525"/>
      <c r="LH48" s="2525"/>
      <c r="LI48" s="2525"/>
      <c r="LJ48" s="2525"/>
      <c r="LK48" s="2525"/>
      <c r="LL48" s="2525"/>
      <c r="LM48" s="2525"/>
      <c r="LN48" s="2525"/>
      <c r="LO48" s="2525"/>
      <c r="LP48" s="2525"/>
      <c r="LQ48" s="2525"/>
      <c r="LR48" s="2525"/>
    </row>
    <row r="49" spans="1:330">
      <c r="A49" s="2525"/>
      <c r="B49" s="2525"/>
      <c r="C49" s="2525"/>
      <c r="D49" s="2525"/>
      <c r="E49" s="2525"/>
      <c r="F49" s="2525"/>
      <c r="G49" s="2525"/>
      <c r="H49" s="2525"/>
      <c r="I49" s="2525"/>
      <c r="J49" s="2525"/>
      <c r="K49" s="2525"/>
      <c r="L49" s="2525"/>
      <c r="M49" s="2525"/>
      <c r="N49" s="2525"/>
      <c r="O49" s="2525"/>
      <c r="P49" s="2525"/>
      <c r="Q49" s="2525"/>
      <c r="R49" s="2525"/>
      <c r="S49" s="2525"/>
      <c r="T49" s="2525"/>
      <c r="U49" s="2525"/>
      <c r="V49" s="2525"/>
      <c r="W49" s="2525"/>
      <c r="X49" s="2525"/>
      <c r="Y49" s="2525"/>
      <c r="Z49" s="2525"/>
      <c r="AA49" s="2525"/>
      <c r="AB49" s="2525"/>
      <c r="AC49" s="2525"/>
      <c r="AD49" s="2525"/>
      <c r="AE49" s="2525"/>
      <c r="AF49" s="2525"/>
      <c r="AG49" s="2525"/>
      <c r="AH49" s="2525"/>
      <c r="AI49" s="2525"/>
      <c r="AJ49" s="2525"/>
      <c r="AK49" s="2525"/>
      <c r="AL49" s="2525"/>
      <c r="AM49" s="2525"/>
      <c r="AN49" s="2525"/>
      <c r="AO49" s="2525"/>
      <c r="AP49" s="2525"/>
      <c r="AQ49" s="2525"/>
      <c r="AR49" s="2525"/>
      <c r="AS49" s="2525"/>
      <c r="AT49" s="2525"/>
      <c r="AU49" s="2525"/>
      <c r="AV49" s="2525"/>
      <c r="AW49" s="2525"/>
      <c r="AX49" s="2525"/>
      <c r="AY49" s="2525"/>
      <c r="AZ49" s="2525"/>
      <c r="BA49" s="2525"/>
      <c r="BB49" s="2525"/>
      <c r="BC49" s="2525"/>
      <c r="BD49" s="2525"/>
      <c r="BE49" s="2525"/>
      <c r="BF49" s="2525"/>
      <c r="BG49" s="2525"/>
      <c r="BH49" s="2525"/>
      <c r="BI49" s="2525"/>
      <c r="BJ49" s="2525"/>
      <c r="BK49" s="2525"/>
      <c r="BL49" s="2525"/>
      <c r="BM49" s="2525"/>
      <c r="BN49" s="2525"/>
      <c r="BO49" s="2525"/>
      <c r="BP49" s="2525"/>
      <c r="BQ49" s="2525"/>
      <c r="BR49" s="2525"/>
      <c r="BS49" s="2525"/>
      <c r="BT49" s="2525"/>
      <c r="BU49" s="2525"/>
      <c r="BV49" s="2525"/>
      <c r="BW49" s="2525"/>
      <c r="BX49" s="2525"/>
      <c r="BY49" s="2525"/>
      <c r="BZ49" s="2525"/>
      <c r="CA49" s="2525"/>
      <c r="CB49" s="2525"/>
      <c r="CC49" s="2525"/>
      <c r="CD49" s="2525"/>
      <c r="CE49" s="2525"/>
      <c r="CF49" s="2525"/>
      <c r="CG49" s="2525"/>
      <c r="CH49" s="2525"/>
      <c r="CI49" s="2525"/>
      <c r="CJ49" s="2525"/>
      <c r="CK49" s="2525"/>
      <c r="CL49" s="2525"/>
      <c r="CM49" s="2525"/>
      <c r="CN49" s="2525"/>
      <c r="CO49" s="2525"/>
      <c r="CP49" s="2525"/>
      <c r="CQ49" s="2525"/>
      <c r="CR49" s="2525"/>
      <c r="CS49" s="2525"/>
      <c r="CT49" s="2525"/>
      <c r="CU49" s="2525"/>
      <c r="CV49" s="2525"/>
      <c r="CW49" s="2525"/>
      <c r="CX49" s="2525"/>
      <c r="CY49" s="2525"/>
      <c r="CZ49" s="2525"/>
      <c r="DA49" s="2525"/>
      <c r="DB49" s="2525"/>
      <c r="DC49" s="2525"/>
      <c r="DD49" s="2525"/>
      <c r="DE49" s="2525"/>
      <c r="DF49" s="2525"/>
      <c r="DG49" s="2525"/>
      <c r="DH49" s="2525"/>
      <c r="DI49" s="2525"/>
      <c r="DJ49" s="2525"/>
      <c r="DK49" s="2525"/>
      <c r="DL49" s="2525"/>
      <c r="DM49" s="2525"/>
      <c r="DN49" s="2525"/>
      <c r="DO49" s="2525"/>
      <c r="DP49" s="2525"/>
      <c r="DQ49" s="2525"/>
      <c r="DR49" s="2525"/>
      <c r="DS49" s="2525"/>
      <c r="DT49" s="2525"/>
      <c r="DU49" s="2525"/>
      <c r="DV49" s="2525"/>
      <c r="DW49" s="2525"/>
      <c r="DX49" s="2525"/>
      <c r="DY49" s="2525"/>
      <c r="DZ49" s="2525"/>
      <c r="EA49" s="2525"/>
      <c r="EB49" s="2525"/>
      <c r="EC49" s="2525"/>
      <c r="ED49" s="2525"/>
      <c r="EE49" s="2525"/>
      <c r="EF49" s="2525"/>
      <c r="EG49" s="2525"/>
      <c r="EH49" s="2525"/>
      <c r="EI49" s="2525"/>
      <c r="EJ49" s="2525"/>
      <c r="EK49" s="2525"/>
      <c r="EL49" s="2525"/>
      <c r="EM49" s="2525"/>
      <c r="EN49" s="2525"/>
      <c r="EO49" s="2525"/>
      <c r="EP49" s="2525"/>
      <c r="EQ49" s="2525"/>
      <c r="ER49" s="2525"/>
      <c r="ES49" s="2525"/>
      <c r="ET49" s="2525"/>
      <c r="EU49" s="2525"/>
      <c r="EV49" s="2525"/>
      <c r="EW49" s="2525"/>
      <c r="EX49" s="2525"/>
      <c r="EY49" s="2525"/>
      <c r="EZ49" s="2525"/>
      <c r="FA49" s="2525"/>
      <c r="FB49" s="2525"/>
      <c r="FC49" s="2525"/>
      <c r="FD49" s="708"/>
      <c r="FE49" s="708"/>
      <c r="FF49" s="708"/>
      <c r="FG49" s="708"/>
      <c r="FH49" s="708"/>
      <c r="FI49" s="708"/>
      <c r="FJ49" s="708"/>
      <c r="FK49" s="708"/>
      <c r="FL49" s="708"/>
      <c r="FM49" s="708"/>
      <c r="FN49" s="708"/>
      <c r="FO49" s="708"/>
      <c r="FP49" s="708"/>
      <c r="FQ49" s="708"/>
      <c r="FR49" s="708"/>
      <c r="FS49" s="708"/>
      <c r="FT49" s="708"/>
      <c r="FU49" s="708"/>
      <c r="FV49" s="708"/>
      <c r="FW49" s="708"/>
      <c r="FX49" s="708"/>
      <c r="FY49" s="708"/>
      <c r="FZ49" s="708"/>
      <c r="GA49" s="708"/>
      <c r="GB49" s="708"/>
      <c r="GC49" s="708"/>
      <c r="GD49" s="708"/>
      <c r="GE49" s="708"/>
      <c r="GF49" s="708"/>
      <c r="GG49" s="708"/>
      <c r="GH49" s="708"/>
      <c r="GI49" s="708"/>
      <c r="GJ49" s="708"/>
      <c r="GK49" s="708"/>
      <c r="GL49" s="708"/>
      <c r="GM49" s="708"/>
      <c r="GN49" s="708"/>
      <c r="GO49" s="708"/>
      <c r="GP49" s="708"/>
      <c r="GQ49" s="708"/>
      <c r="GR49" s="708"/>
      <c r="GS49" s="708"/>
      <c r="GT49" s="708"/>
      <c r="GU49" s="708"/>
      <c r="GV49" s="708"/>
      <c r="GW49" s="708"/>
      <c r="GX49" s="708"/>
      <c r="GY49" s="708"/>
      <c r="GZ49" s="708"/>
      <c r="HA49" s="708"/>
      <c r="HB49" s="708"/>
      <c r="HC49" s="708"/>
      <c r="HD49" s="708"/>
      <c r="HE49" s="708"/>
      <c r="HF49" s="708"/>
      <c r="HG49" s="708"/>
      <c r="HH49" s="708"/>
      <c r="HI49" s="708"/>
      <c r="HJ49" s="708"/>
      <c r="HK49" s="708"/>
      <c r="HL49" s="708"/>
      <c r="HM49" s="708"/>
      <c r="HN49" s="708"/>
      <c r="HO49" s="708"/>
      <c r="HP49" s="708"/>
      <c r="HQ49" s="708"/>
      <c r="HR49" s="708"/>
      <c r="HS49" s="708"/>
      <c r="HT49" s="708"/>
      <c r="HU49" s="708"/>
      <c r="HV49" s="708"/>
      <c r="HW49" s="708"/>
      <c r="HX49" s="708"/>
      <c r="HY49" s="708"/>
      <c r="HZ49" s="708"/>
      <c r="IA49" s="708"/>
      <c r="IB49" s="708"/>
      <c r="IC49" s="708"/>
      <c r="ID49" s="708"/>
      <c r="IE49" s="708"/>
      <c r="IF49" s="708"/>
      <c r="IG49" s="708"/>
      <c r="IH49" s="708"/>
      <c r="II49" s="708"/>
      <c r="IJ49" s="708"/>
      <c r="IK49" s="708"/>
      <c r="IL49" s="708"/>
      <c r="IM49" s="708"/>
      <c r="IN49" s="708"/>
      <c r="IO49" s="708"/>
      <c r="IP49" s="708"/>
      <c r="IQ49" s="708"/>
      <c r="IR49" s="708"/>
      <c r="IS49" s="708"/>
      <c r="IT49" s="708"/>
      <c r="IU49" s="708"/>
      <c r="IV49" s="708"/>
      <c r="IW49" s="708"/>
      <c r="IX49" s="708"/>
      <c r="IY49" s="708"/>
      <c r="IZ49" s="708"/>
      <c r="JA49" s="708"/>
      <c r="JB49" s="2525"/>
      <c r="JC49" s="2525"/>
      <c r="JD49" s="2525"/>
      <c r="JE49" s="2525"/>
      <c r="JF49" s="2525"/>
      <c r="JG49" s="2525"/>
      <c r="JH49" s="2525"/>
      <c r="JI49" s="2525"/>
      <c r="JJ49" s="2525"/>
      <c r="JK49" s="2525"/>
      <c r="JL49" s="2525"/>
      <c r="JM49" s="2525"/>
      <c r="JN49" s="2525"/>
      <c r="JO49" s="2525"/>
      <c r="JP49" s="2525"/>
      <c r="JQ49" s="2525"/>
      <c r="JS49" s="2525"/>
      <c r="JT49" s="2525"/>
      <c r="JU49" s="2525"/>
      <c r="JV49" s="2525"/>
      <c r="JW49" s="2525"/>
      <c r="JX49" s="2525"/>
      <c r="JY49" s="2525"/>
      <c r="JZ49" s="2525"/>
      <c r="KA49" s="708"/>
      <c r="KB49" s="708"/>
      <c r="KC49" s="708"/>
      <c r="KD49" s="708"/>
      <c r="KE49" s="708"/>
      <c r="KF49" s="708"/>
      <c r="KG49" s="708"/>
      <c r="KH49" s="708"/>
      <c r="KI49" s="708"/>
      <c r="KJ49" s="421"/>
      <c r="KK49" s="421"/>
      <c r="KL49" s="708"/>
      <c r="KM49" s="708"/>
      <c r="KN49" s="2525"/>
      <c r="KO49" s="2525"/>
      <c r="KP49" s="2525"/>
      <c r="KQ49" s="2525"/>
      <c r="KR49" s="2525"/>
      <c r="KS49" s="2525"/>
      <c r="KT49" s="2525"/>
      <c r="KU49" s="2525"/>
      <c r="KV49" s="2525"/>
      <c r="KW49" s="2525"/>
      <c r="KX49" s="2525"/>
      <c r="KY49" s="2525"/>
      <c r="KZ49" s="2525"/>
      <c r="LA49" s="2525"/>
      <c r="LB49" s="2525"/>
      <c r="LC49" s="2525"/>
      <c r="LD49" s="2525"/>
      <c r="LE49" s="2525"/>
      <c r="LF49" s="2525"/>
      <c r="LG49" s="2525"/>
      <c r="LH49" s="2525"/>
      <c r="LI49" s="2525"/>
      <c r="LJ49" s="2525"/>
      <c r="LK49" s="2525"/>
      <c r="LL49" s="2525"/>
      <c r="LM49" s="2525"/>
      <c r="LN49" s="2525"/>
      <c r="LO49" s="2525"/>
      <c r="LP49" s="2525"/>
      <c r="LQ49" s="2525"/>
      <c r="LR49" s="2525"/>
    </row>
    <row r="50" spans="1:330">
      <c r="A50" s="2525"/>
      <c r="B50" s="2525"/>
      <c r="C50" s="2525"/>
      <c r="D50" s="2525"/>
      <c r="E50" s="2525"/>
      <c r="F50" s="2525"/>
      <c r="G50" s="2525"/>
      <c r="H50" s="2525"/>
      <c r="I50" s="2525"/>
      <c r="J50" s="2525"/>
      <c r="K50" s="2525"/>
      <c r="L50" s="2525"/>
      <c r="M50" s="2525"/>
      <c r="N50" s="2525"/>
      <c r="O50" s="2525"/>
      <c r="P50" s="2525"/>
      <c r="Q50" s="2525"/>
      <c r="R50" s="2525"/>
      <c r="S50" s="2525"/>
      <c r="T50" s="2525"/>
      <c r="U50" s="2525"/>
      <c r="V50" s="2525"/>
      <c r="W50" s="2525"/>
      <c r="X50" s="2525"/>
      <c r="Y50" s="2525"/>
      <c r="Z50" s="2525"/>
      <c r="AA50" s="2525"/>
      <c r="AB50" s="2525"/>
      <c r="AC50" s="2525"/>
      <c r="AD50" s="2525"/>
      <c r="AE50" s="2525"/>
      <c r="AF50" s="2525"/>
      <c r="AG50" s="2525"/>
      <c r="AH50" s="2525"/>
      <c r="AI50" s="2525"/>
      <c r="AJ50" s="2525"/>
      <c r="AK50" s="2525"/>
      <c r="AL50" s="2525"/>
      <c r="AM50" s="2525"/>
      <c r="AN50" s="2525"/>
      <c r="AO50" s="2525"/>
      <c r="AP50" s="2525"/>
      <c r="AQ50" s="2525"/>
      <c r="AR50" s="2525"/>
      <c r="AS50" s="2525"/>
      <c r="AT50" s="2525"/>
      <c r="AU50" s="2525"/>
      <c r="AV50" s="2525"/>
      <c r="AW50" s="2525"/>
      <c r="AX50" s="2525"/>
      <c r="AY50" s="2525"/>
      <c r="AZ50" s="2525"/>
      <c r="BA50" s="2525"/>
      <c r="BB50" s="2525"/>
      <c r="BC50" s="2525"/>
      <c r="BD50" s="2525"/>
      <c r="BE50" s="2525"/>
      <c r="BF50" s="2525"/>
      <c r="BG50" s="2525"/>
      <c r="BH50" s="2525"/>
      <c r="BI50" s="2525"/>
      <c r="BJ50" s="2525"/>
      <c r="BK50" s="2525"/>
      <c r="BL50" s="2525"/>
      <c r="BM50" s="2525"/>
      <c r="BN50" s="2525"/>
      <c r="BO50" s="2525"/>
      <c r="BP50" s="2525"/>
      <c r="BQ50" s="2525"/>
      <c r="BR50" s="2525"/>
      <c r="BS50" s="2525"/>
      <c r="BT50" s="2525"/>
      <c r="BU50" s="2525"/>
      <c r="BV50" s="2525"/>
      <c r="BW50" s="2525"/>
      <c r="BX50" s="2525"/>
      <c r="BY50" s="2525"/>
      <c r="BZ50" s="2525"/>
      <c r="CA50" s="2525"/>
      <c r="CB50" s="2525"/>
      <c r="CC50" s="2525"/>
      <c r="CD50" s="2525"/>
      <c r="CE50" s="2525"/>
      <c r="CF50" s="2525"/>
      <c r="CG50" s="2525"/>
      <c r="CH50" s="2525"/>
      <c r="CI50" s="2525"/>
      <c r="CJ50" s="2525"/>
      <c r="CK50" s="2525"/>
      <c r="CL50" s="2525"/>
      <c r="CM50" s="2525"/>
      <c r="CN50" s="2525"/>
      <c r="CO50" s="2525"/>
      <c r="CP50" s="2525"/>
      <c r="CQ50" s="2525"/>
      <c r="CR50" s="2525"/>
      <c r="CS50" s="2525"/>
      <c r="CT50" s="2525"/>
      <c r="CU50" s="2525"/>
      <c r="CV50" s="2525"/>
      <c r="CW50" s="2525"/>
      <c r="CX50" s="2525"/>
      <c r="CY50" s="2525"/>
      <c r="CZ50" s="2525"/>
      <c r="DA50" s="2525"/>
      <c r="DB50" s="2525"/>
      <c r="DC50" s="2525"/>
      <c r="DD50" s="2525"/>
      <c r="DE50" s="2525"/>
      <c r="DF50" s="2525"/>
      <c r="DG50" s="2525"/>
      <c r="DH50" s="2525"/>
      <c r="DI50" s="2525"/>
      <c r="DJ50" s="2525"/>
      <c r="DK50" s="2525"/>
      <c r="DL50" s="2525"/>
      <c r="DM50" s="2525"/>
      <c r="DN50" s="2525"/>
      <c r="DO50" s="2525"/>
      <c r="DP50" s="2525"/>
      <c r="DQ50" s="2525"/>
      <c r="DR50" s="2525"/>
      <c r="DS50" s="2525"/>
      <c r="DT50" s="2525"/>
      <c r="DU50" s="2525"/>
      <c r="DV50" s="2525"/>
      <c r="DW50" s="2525"/>
      <c r="DX50" s="2525"/>
      <c r="DY50" s="2525"/>
      <c r="DZ50" s="2525"/>
      <c r="EA50" s="2525"/>
      <c r="EB50" s="2525"/>
      <c r="EC50" s="2525"/>
      <c r="ED50" s="2525"/>
      <c r="EE50" s="2525"/>
      <c r="EF50" s="2525"/>
      <c r="EG50" s="2525"/>
      <c r="EH50" s="2525"/>
      <c r="EI50" s="2525"/>
      <c r="EJ50" s="2525"/>
      <c r="EK50" s="2525"/>
      <c r="EL50" s="2525"/>
      <c r="EM50" s="2525"/>
      <c r="EN50" s="2525"/>
      <c r="EO50" s="2525"/>
      <c r="EP50" s="2525"/>
      <c r="EQ50" s="2525"/>
      <c r="ER50" s="2525"/>
      <c r="ES50" s="2525"/>
      <c r="ET50" s="2525"/>
      <c r="EU50" s="2525"/>
      <c r="EV50" s="2525"/>
      <c r="EW50" s="2525"/>
      <c r="EX50" s="2525"/>
      <c r="EY50" s="2525"/>
      <c r="EZ50" s="2525"/>
      <c r="FA50" s="2525"/>
      <c r="FB50" s="2525"/>
      <c r="FC50" s="2525"/>
      <c r="FD50" s="708"/>
      <c r="FE50" s="708"/>
      <c r="FF50" s="708"/>
      <c r="FG50" s="708"/>
      <c r="FH50" s="708"/>
      <c r="FI50" s="708"/>
      <c r="FJ50" s="708"/>
      <c r="FK50" s="708"/>
      <c r="FL50" s="708"/>
      <c r="FM50" s="708"/>
      <c r="FN50" s="708"/>
      <c r="FO50" s="708"/>
      <c r="FP50" s="708"/>
      <c r="FQ50" s="708"/>
      <c r="FR50" s="708"/>
      <c r="FS50" s="708"/>
      <c r="FT50" s="708"/>
      <c r="FU50" s="708"/>
      <c r="FV50" s="708"/>
      <c r="FW50" s="708"/>
      <c r="FX50" s="708"/>
      <c r="FY50" s="708"/>
      <c r="FZ50" s="708"/>
      <c r="GA50" s="708"/>
      <c r="GB50" s="708"/>
      <c r="GC50" s="708"/>
      <c r="GD50" s="708"/>
      <c r="GE50" s="708"/>
      <c r="GF50" s="708"/>
      <c r="GG50" s="708"/>
      <c r="GH50" s="708"/>
      <c r="GI50" s="708"/>
      <c r="GJ50" s="708"/>
      <c r="GK50" s="708"/>
      <c r="GL50" s="708"/>
      <c r="GM50" s="708"/>
      <c r="GN50" s="708"/>
      <c r="GO50" s="708"/>
      <c r="GP50" s="708"/>
      <c r="GQ50" s="708"/>
      <c r="GR50" s="708"/>
      <c r="GS50" s="708"/>
      <c r="GT50" s="708"/>
      <c r="GU50" s="708"/>
      <c r="GV50" s="708"/>
      <c r="GW50" s="708"/>
      <c r="GX50" s="708"/>
      <c r="GY50" s="708"/>
      <c r="GZ50" s="708"/>
      <c r="HA50" s="708"/>
      <c r="HB50" s="708"/>
      <c r="HC50" s="708"/>
      <c r="HD50" s="708"/>
      <c r="HE50" s="708"/>
      <c r="HF50" s="708"/>
      <c r="HG50" s="708"/>
      <c r="HH50" s="708"/>
      <c r="HI50" s="708"/>
      <c r="HJ50" s="708"/>
      <c r="HK50" s="708"/>
      <c r="HL50" s="708"/>
      <c r="HM50" s="708"/>
      <c r="HN50" s="708"/>
      <c r="HO50" s="708"/>
      <c r="HP50" s="708"/>
      <c r="HQ50" s="708"/>
      <c r="HR50" s="708"/>
      <c r="HS50" s="708"/>
      <c r="HT50" s="708"/>
      <c r="HU50" s="708"/>
      <c r="HV50" s="708"/>
      <c r="HW50" s="708"/>
      <c r="HX50" s="708"/>
      <c r="HY50" s="708"/>
      <c r="HZ50" s="708"/>
      <c r="IA50" s="708"/>
      <c r="IB50" s="708"/>
      <c r="IC50" s="708"/>
      <c r="ID50" s="708"/>
      <c r="IE50" s="708"/>
      <c r="IF50" s="708"/>
      <c r="IG50" s="708"/>
      <c r="IH50" s="708"/>
      <c r="II50" s="708"/>
      <c r="IJ50" s="708"/>
      <c r="IK50" s="708"/>
      <c r="IL50" s="708"/>
      <c r="IM50" s="708"/>
      <c r="IN50" s="708"/>
      <c r="IO50" s="708"/>
      <c r="IP50" s="708"/>
      <c r="IQ50" s="708"/>
      <c r="IR50" s="708"/>
      <c r="IS50" s="708"/>
      <c r="IT50" s="708"/>
      <c r="IU50" s="708"/>
      <c r="IV50" s="708"/>
      <c r="IW50" s="708"/>
      <c r="IX50" s="708"/>
      <c r="IY50" s="708"/>
      <c r="IZ50" s="708"/>
      <c r="JA50" s="708"/>
      <c r="JB50" s="2525"/>
      <c r="JC50" s="2525"/>
      <c r="JD50" s="2525"/>
      <c r="JE50" s="2525"/>
      <c r="JF50" s="2525"/>
      <c r="JG50" s="2525"/>
      <c r="JH50" s="2525"/>
      <c r="JI50" s="2525"/>
      <c r="JJ50" s="2525"/>
      <c r="JK50" s="2525"/>
      <c r="JL50" s="2525"/>
      <c r="JM50" s="2525"/>
      <c r="JN50" s="2525"/>
      <c r="JO50" s="2525"/>
      <c r="JP50" s="2525"/>
      <c r="JQ50" s="2525"/>
      <c r="JS50" s="2525"/>
      <c r="JT50" s="2525"/>
      <c r="JU50" s="2525"/>
      <c r="JV50" s="2525"/>
      <c r="JW50" s="2525"/>
      <c r="JX50" s="2525"/>
      <c r="JY50" s="2525"/>
      <c r="JZ50" s="2525"/>
      <c r="KA50" s="708"/>
      <c r="KB50" s="708"/>
      <c r="KC50" s="708"/>
      <c r="KD50" s="708"/>
      <c r="KE50" s="708"/>
      <c r="KF50" s="708"/>
      <c r="KG50" s="708"/>
      <c r="KH50" s="708"/>
      <c r="KI50" s="708"/>
      <c r="KJ50" s="421"/>
      <c r="KK50" s="421"/>
      <c r="KL50" s="708"/>
      <c r="KM50" s="708"/>
      <c r="KN50" s="2525"/>
      <c r="KO50" s="2525"/>
      <c r="KP50" s="2525"/>
      <c r="KQ50" s="2525"/>
      <c r="KR50" s="2525"/>
      <c r="KS50" s="2525"/>
      <c r="KT50" s="2525"/>
      <c r="KU50" s="2525"/>
      <c r="KV50" s="2525"/>
      <c r="KW50" s="2525"/>
      <c r="KX50" s="2525"/>
      <c r="KY50" s="2525"/>
      <c r="KZ50" s="2525"/>
      <c r="LA50" s="2525"/>
      <c r="LB50" s="2525"/>
      <c r="LC50" s="2525"/>
      <c r="LD50" s="2525"/>
      <c r="LE50" s="2525"/>
      <c r="LF50" s="2525"/>
      <c r="LG50" s="2525"/>
      <c r="LH50" s="2525"/>
      <c r="LI50" s="2525"/>
      <c r="LJ50" s="2525"/>
      <c r="LK50" s="2525"/>
      <c r="LL50" s="2525"/>
      <c r="LM50" s="2525"/>
      <c r="LN50" s="2525"/>
      <c r="LO50" s="2525"/>
      <c r="LP50" s="2525"/>
      <c r="LQ50" s="2525"/>
      <c r="LR50" s="2525"/>
    </row>
    <row r="51" spans="1:330">
      <c r="A51" s="2525"/>
      <c r="B51" s="2525"/>
      <c r="C51" s="2525"/>
      <c r="D51" s="2525"/>
      <c r="E51" s="2525"/>
      <c r="F51" s="2525"/>
      <c r="G51" s="2525"/>
      <c r="H51" s="2525"/>
      <c r="I51" s="2525"/>
      <c r="J51" s="2525"/>
      <c r="K51" s="2525"/>
      <c r="L51" s="2525"/>
      <c r="M51" s="2525"/>
      <c r="N51" s="2525"/>
      <c r="O51" s="2525"/>
      <c r="P51" s="2525"/>
      <c r="Q51" s="2525"/>
      <c r="R51" s="2525"/>
      <c r="S51" s="2525"/>
      <c r="T51" s="2525"/>
      <c r="U51" s="2525"/>
      <c r="V51" s="2525"/>
      <c r="W51" s="2525"/>
      <c r="X51" s="2525"/>
      <c r="Y51" s="2525"/>
      <c r="Z51" s="2525"/>
      <c r="AA51" s="2525"/>
      <c r="AB51" s="2525"/>
      <c r="AC51" s="2525"/>
      <c r="AD51" s="2525"/>
      <c r="AE51" s="2525"/>
      <c r="AF51" s="2525"/>
      <c r="AG51" s="2525"/>
      <c r="AH51" s="2525"/>
      <c r="AI51" s="2525"/>
      <c r="AJ51" s="2525"/>
      <c r="AK51" s="2525"/>
      <c r="AL51" s="2525"/>
      <c r="AM51" s="2525"/>
      <c r="AN51" s="2525"/>
      <c r="AO51" s="2525"/>
      <c r="AP51" s="2525"/>
      <c r="AQ51" s="2525"/>
      <c r="AR51" s="2525"/>
      <c r="AS51" s="2525"/>
      <c r="AT51" s="2525"/>
      <c r="AU51" s="2525"/>
      <c r="AV51" s="2525"/>
      <c r="AW51" s="2525"/>
      <c r="AX51" s="2525"/>
      <c r="AY51" s="2525"/>
      <c r="AZ51" s="2525"/>
      <c r="BA51" s="2525"/>
      <c r="BB51" s="2525"/>
      <c r="BC51" s="2525"/>
      <c r="BD51" s="2525"/>
      <c r="BE51" s="2525"/>
      <c r="BF51" s="2525"/>
      <c r="BG51" s="2525"/>
      <c r="BH51" s="2525"/>
      <c r="BI51" s="2525"/>
      <c r="BJ51" s="2525"/>
      <c r="BK51" s="2525"/>
      <c r="BL51" s="2525"/>
      <c r="BM51" s="2525"/>
      <c r="BN51" s="2525"/>
      <c r="BO51" s="2525"/>
      <c r="BP51" s="2525"/>
      <c r="BQ51" s="2525"/>
      <c r="BR51" s="2525"/>
      <c r="BS51" s="2525"/>
      <c r="BT51" s="2525"/>
      <c r="BU51" s="2525"/>
      <c r="BV51" s="2525"/>
      <c r="BW51" s="2525"/>
      <c r="BX51" s="2525"/>
      <c r="BY51" s="2525"/>
      <c r="BZ51" s="2525"/>
      <c r="CA51" s="2525"/>
      <c r="CB51" s="2525"/>
      <c r="CC51" s="2525"/>
      <c r="CD51" s="2525"/>
      <c r="CE51" s="2525"/>
      <c r="CF51" s="2525"/>
      <c r="CG51" s="2525"/>
      <c r="CH51" s="2525"/>
      <c r="CI51" s="2525"/>
      <c r="CJ51" s="2525"/>
      <c r="CK51" s="2525"/>
      <c r="CL51" s="2525"/>
      <c r="CM51" s="2525"/>
      <c r="CN51" s="2525"/>
      <c r="CO51" s="2525"/>
      <c r="CP51" s="2525"/>
      <c r="CQ51" s="2525"/>
      <c r="CR51" s="2525"/>
      <c r="CS51" s="2525"/>
      <c r="CT51" s="2525"/>
      <c r="CU51" s="2525"/>
      <c r="CV51" s="2525"/>
      <c r="CW51" s="2525"/>
      <c r="CX51" s="2525"/>
      <c r="CY51" s="2525"/>
      <c r="CZ51" s="2525"/>
      <c r="DA51" s="2525"/>
      <c r="DB51" s="2525"/>
      <c r="DC51" s="2525"/>
      <c r="DD51" s="2525"/>
      <c r="DE51" s="2525"/>
      <c r="DF51" s="2525"/>
      <c r="DG51" s="2525"/>
      <c r="DH51" s="2525"/>
      <c r="DI51" s="2525"/>
      <c r="DJ51" s="2525"/>
      <c r="DK51" s="2525"/>
      <c r="DL51" s="2525"/>
      <c r="DM51" s="2525"/>
      <c r="DN51" s="2525"/>
      <c r="DO51" s="2525"/>
      <c r="DP51" s="2525"/>
      <c r="DQ51" s="2525"/>
      <c r="DR51" s="2525"/>
      <c r="DS51" s="2525"/>
      <c r="DT51" s="2525"/>
      <c r="DU51" s="2525"/>
      <c r="DV51" s="2525"/>
      <c r="DW51" s="2525"/>
      <c r="DX51" s="2525"/>
      <c r="DY51" s="2525"/>
      <c r="DZ51" s="2525"/>
      <c r="EA51" s="2525"/>
      <c r="EB51" s="2525"/>
      <c r="EC51" s="2525"/>
      <c r="ED51" s="2525"/>
      <c r="EE51" s="2525"/>
      <c r="EF51" s="2525"/>
      <c r="EG51" s="2525"/>
      <c r="EH51" s="2525"/>
      <c r="EI51" s="2525"/>
      <c r="EJ51" s="2525"/>
      <c r="EK51" s="2525"/>
      <c r="EL51" s="2525"/>
      <c r="EM51" s="2525"/>
      <c r="EN51" s="2525"/>
      <c r="EO51" s="2525"/>
      <c r="EP51" s="2525"/>
      <c r="EQ51" s="2525"/>
      <c r="ER51" s="2525"/>
      <c r="ES51" s="2525"/>
      <c r="ET51" s="2525"/>
      <c r="EU51" s="2525"/>
      <c r="EV51" s="2525"/>
      <c r="EW51" s="2525"/>
      <c r="EX51" s="2525"/>
      <c r="EY51" s="2525"/>
      <c r="EZ51" s="2525"/>
      <c r="FA51" s="2525"/>
      <c r="FB51" s="2525"/>
      <c r="FC51" s="2525"/>
      <c r="FD51" s="708"/>
      <c r="FE51" s="708"/>
      <c r="FF51" s="708"/>
      <c r="FG51" s="708"/>
      <c r="FH51" s="708"/>
      <c r="FI51" s="708"/>
      <c r="FJ51" s="708"/>
      <c r="FK51" s="708"/>
      <c r="FL51" s="708"/>
      <c r="FM51" s="708"/>
      <c r="FN51" s="708"/>
      <c r="FO51" s="708"/>
      <c r="FP51" s="708"/>
      <c r="FQ51" s="708"/>
      <c r="FR51" s="708"/>
      <c r="FS51" s="708"/>
      <c r="FT51" s="708"/>
      <c r="FU51" s="708"/>
      <c r="FV51" s="708"/>
      <c r="FW51" s="708"/>
      <c r="FX51" s="708"/>
      <c r="FY51" s="708"/>
      <c r="FZ51" s="708"/>
      <c r="GA51" s="708"/>
      <c r="GB51" s="708"/>
      <c r="GC51" s="708"/>
      <c r="GD51" s="708"/>
      <c r="GE51" s="708"/>
      <c r="GF51" s="708"/>
      <c r="GG51" s="708"/>
      <c r="GH51" s="708"/>
      <c r="GI51" s="708"/>
      <c r="GJ51" s="708"/>
      <c r="GK51" s="708"/>
      <c r="GL51" s="708"/>
      <c r="GM51" s="708"/>
      <c r="GN51" s="708"/>
      <c r="GO51" s="708"/>
      <c r="GP51" s="708"/>
      <c r="GQ51" s="708"/>
      <c r="GR51" s="708"/>
      <c r="GS51" s="708"/>
      <c r="GT51" s="708"/>
      <c r="GU51" s="708"/>
      <c r="GV51" s="708"/>
      <c r="GW51" s="708"/>
      <c r="GX51" s="708"/>
      <c r="GY51" s="708"/>
      <c r="GZ51" s="708"/>
      <c r="HA51" s="708"/>
      <c r="HB51" s="708"/>
      <c r="HC51" s="708"/>
      <c r="HD51" s="708"/>
      <c r="HE51" s="708"/>
      <c r="HF51" s="708"/>
      <c r="HG51" s="708"/>
      <c r="HH51" s="708"/>
      <c r="HI51" s="708"/>
      <c r="HJ51" s="708"/>
      <c r="HK51" s="708"/>
      <c r="HL51" s="708"/>
      <c r="HM51" s="708"/>
      <c r="HN51" s="708"/>
      <c r="HO51" s="708"/>
      <c r="HP51" s="708"/>
      <c r="HQ51" s="708"/>
      <c r="HR51" s="708"/>
      <c r="HS51" s="708"/>
      <c r="HT51" s="708"/>
      <c r="HU51" s="708"/>
      <c r="HV51" s="708"/>
      <c r="HW51" s="708"/>
      <c r="HX51" s="708"/>
      <c r="HY51" s="708"/>
      <c r="HZ51" s="708"/>
      <c r="IA51" s="708"/>
      <c r="IB51" s="708"/>
      <c r="IC51" s="708"/>
      <c r="ID51" s="708"/>
      <c r="IE51" s="708"/>
      <c r="IF51" s="708"/>
      <c r="IG51" s="708"/>
      <c r="IH51" s="708"/>
      <c r="II51" s="708"/>
      <c r="IJ51" s="708"/>
      <c r="IK51" s="708"/>
      <c r="IL51" s="708"/>
      <c r="IM51" s="708"/>
      <c r="IN51" s="708"/>
      <c r="IO51" s="708"/>
      <c r="IP51" s="708"/>
      <c r="IQ51" s="708"/>
      <c r="IR51" s="708"/>
      <c r="IS51" s="708"/>
      <c r="IT51" s="708"/>
      <c r="IU51" s="708"/>
      <c r="IV51" s="708"/>
      <c r="IW51" s="708"/>
      <c r="IX51" s="708"/>
      <c r="IY51" s="708"/>
      <c r="IZ51" s="708"/>
      <c r="JA51" s="708"/>
      <c r="JB51" s="2525"/>
      <c r="JC51" s="2525"/>
      <c r="JD51" s="2525"/>
      <c r="JE51" s="2525"/>
      <c r="JF51" s="2525"/>
      <c r="JG51" s="2525"/>
      <c r="JH51" s="2525"/>
      <c r="JI51" s="2525"/>
      <c r="JJ51" s="2525"/>
      <c r="JK51" s="2525"/>
      <c r="JL51" s="2525"/>
      <c r="JM51" s="2525"/>
      <c r="JN51" s="2525"/>
      <c r="JO51" s="2525"/>
      <c r="JP51" s="2525"/>
      <c r="JQ51" s="2525"/>
      <c r="JS51" s="2525"/>
      <c r="JT51" s="2525"/>
      <c r="JU51" s="2525"/>
      <c r="JV51" s="2525"/>
      <c r="JW51" s="2525"/>
      <c r="JX51" s="2525"/>
      <c r="JY51" s="2525"/>
      <c r="JZ51" s="2525"/>
      <c r="KA51" s="708"/>
      <c r="KB51" s="708"/>
      <c r="KC51" s="708"/>
      <c r="KD51" s="708"/>
      <c r="KE51" s="708"/>
      <c r="KF51" s="708"/>
      <c r="KG51" s="708"/>
      <c r="KH51" s="708"/>
      <c r="KI51" s="708"/>
      <c r="KJ51" s="421"/>
      <c r="KK51" s="421"/>
      <c r="KL51" s="708"/>
      <c r="KM51" s="708"/>
      <c r="KN51" s="2525"/>
      <c r="KO51" s="2525"/>
      <c r="KP51" s="2525"/>
      <c r="KQ51" s="2525"/>
      <c r="KR51" s="2525"/>
      <c r="KS51" s="2525"/>
      <c r="KT51" s="2525"/>
      <c r="KU51" s="2525"/>
      <c r="KV51" s="2525"/>
      <c r="KW51" s="2525"/>
      <c r="KX51" s="2525"/>
      <c r="KY51" s="2525"/>
      <c r="KZ51" s="2525"/>
      <c r="LA51" s="2525"/>
      <c r="LB51" s="2525"/>
      <c r="LC51" s="2525"/>
      <c r="LD51" s="2525"/>
      <c r="LE51" s="2525"/>
      <c r="LF51" s="2525"/>
      <c r="LG51" s="2525"/>
      <c r="LH51" s="2525"/>
      <c r="LI51" s="2525"/>
      <c r="LJ51" s="2525"/>
      <c r="LK51" s="2525"/>
      <c r="LL51" s="2525"/>
      <c r="LM51" s="2525"/>
      <c r="LN51" s="2525"/>
      <c r="LO51" s="2525"/>
      <c r="LP51" s="2525"/>
      <c r="LQ51" s="2525"/>
      <c r="LR51" s="2525"/>
    </row>
    <row r="52" spans="1:330">
      <c r="A52" s="2525"/>
      <c r="B52" s="2525"/>
      <c r="C52" s="2525"/>
      <c r="D52" s="2525"/>
      <c r="E52" s="2525"/>
      <c r="F52" s="2525"/>
      <c r="G52" s="2525"/>
      <c r="H52" s="2525"/>
      <c r="I52" s="2525"/>
      <c r="J52" s="2525"/>
      <c r="K52" s="2525"/>
      <c r="L52" s="2525"/>
      <c r="M52" s="2525"/>
      <c r="N52" s="2525"/>
      <c r="O52" s="2525"/>
      <c r="P52" s="2525"/>
      <c r="Q52" s="2525"/>
      <c r="R52" s="2525"/>
      <c r="S52" s="2525"/>
      <c r="T52" s="2525"/>
      <c r="U52" s="2525"/>
      <c r="V52" s="2525"/>
      <c r="W52" s="2525"/>
      <c r="X52" s="2525"/>
      <c r="Y52" s="2525"/>
      <c r="Z52" s="2525"/>
      <c r="AA52" s="2525"/>
      <c r="AB52" s="2525"/>
      <c r="AC52" s="2525"/>
      <c r="AD52" s="2525"/>
      <c r="AE52" s="2525"/>
      <c r="AF52" s="2525"/>
      <c r="AG52" s="2525"/>
      <c r="AH52" s="2525"/>
      <c r="AI52" s="2525"/>
      <c r="AJ52" s="2525"/>
      <c r="AK52" s="2525"/>
      <c r="AL52" s="2525"/>
      <c r="AM52" s="2525"/>
      <c r="AN52" s="2525"/>
      <c r="AO52" s="2525"/>
      <c r="AP52" s="2525"/>
      <c r="AQ52" s="2525"/>
      <c r="AR52" s="2525"/>
      <c r="AS52" s="2525"/>
      <c r="AT52" s="2525"/>
      <c r="AU52" s="2525"/>
      <c r="AV52" s="2525"/>
      <c r="AW52" s="2525"/>
      <c r="AX52" s="2525"/>
      <c r="AY52" s="2525"/>
      <c r="AZ52" s="2525"/>
      <c r="BA52" s="2525"/>
      <c r="BB52" s="2525"/>
      <c r="BC52" s="2525"/>
      <c r="BD52" s="2525"/>
      <c r="BE52" s="2525"/>
      <c r="BF52" s="2525"/>
      <c r="BG52" s="2525"/>
      <c r="BH52" s="2525"/>
      <c r="BI52" s="2525"/>
      <c r="BJ52" s="2525"/>
      <c r="BK52" s="2525"/>
      <c r="BL52" s="2525"/>
      <c r="BM52" s="2525"/>
      <c r="BN52" s="2525"/>
      <c r="BO52" s="2525"/>
      <c r="BP52" s="2525"/>
      <c r="BQ52" s="2525"/>
      <c r="BR52" s="2525"/>
      <c r="BS52" s="2525"/>
      <c r="BT52" s="2525"/>
      <c r="BU52" s="2525"/>
      <c r="BV52" s="2525"/>
      <c r="BW52" s="2525"/>
      <c r="BX52" s="2525"/>
      <c r="BY52" s="2525"/>
      <c r="BZ52" s="2525"/>
      <c r="CA52" s="2525"/>
      <c r="CB52" s="2525"/>
      <c r="CC52" s="2525"/>
      <c r="CD52" s="2525"/>
      <c r="CE52" s="2525"/>
      <c r="CF52" s="2525"/>
      <c r="CG52" s="2525"/>
      <c r="CH52" s="2525"/>
      <c r="CI52" s="2525"/>
      <c r="CJ52" s="2525"/>
      <c r="CK52" s="2525"/>
      <c r="CL52" s="2525"/>
      <c r="CM52" s="2525"/>
      <c r="CN52" s="2525"/>
      <c r="CO52" s="2525"/>
      <c r="CP52" s="2525"/>
      <c r="CQ52" s="2525"/>
      <c r="CR52" s="2525"/>
      <c r="CS52" s="2525"/>
      <c r="CT52" s="2525"/>
      <c r="CU52" s="2525"/>
      <c r="CV52" s="2525"/>
      <c r="CW52" s="2525"/>
      <c r="CX52" s="2525"/>
      <c r="CY52" s="2525"/>
      <c r="CZ52" s="2525"/>
      <c r="DA52" s="2525"/>
      <c r="DB52" s="2525"/>
      <c r="DC52" s="2525"/>
      <c r="DD52" s="2525"/>
      <c r="DE52" s="2525"/>
      <c r="DF52" s="2525"/>
      <c r="DG52" s="2525"/>
      <c r="DH52" s="2525"/>
      <c r="DI52" s="2525"/>
      <c r="DJ52" s="2525"/>
      <c r="DK52" s="2525"/>
      <c r="DL52" s="2525"/>
      <c r="DM52" s="2525"/>
      <c r="DN52" s="2525"/>
      <c r="DO52" s="2525"/>
      <c r="DP52" s="2525"/>
      <c r="DQ52" s="2525"/>
      <c r="DR52" s="2525"/>
      <c r="DS52" s="2525"/>
      <c r="DT52" s="2525"/>
      <c r="DU52" s="2525"/>
      <c r="DV52" s="2525"/>
      <c r="DW52" s="2525"/>
      <c r="DX52" s="2525"/>
      <c r="DY52" s="2525"/>
      <c r="DZ52" s="2525"/>
      <c r="EA52" s="2525"/>
      <c r="EB52" s="2525"/>
      <c r="EC52" s="2525"/>
      <c r="ED52" s="2525"/>
      <c r="EE52" s="2525"/>
      <c r="EF52" s="2525"/>
      <c r="EG52" s="2525"/>
      <c r="EH52" s="2525"/>
      <c r="EI52" s="2525"/>
      <c r="EJ52" s="2525"/>
      <c r="EK52" s="2525"/>
      <c r="EL52" s="2525"/>
      <c r="EM52" s="2525"/>
      <c r="EN52" s="2525"/>
      <c r="EO52" s="2525"/>
      <c r="EP52" s="2525"/>
      <c r="EQ52" s="2525"/>
      <c r="ER52" s="2525"/>
      <c r="ES52" s="2525"/>
      <c r="ET52" s="2525"/>
      <c r="EU52" s="2525"/>
      <c r="EV52" s="2525"/>
      <c r="EW52" s="2525"/>
      <c r="EX52" s="2525"/>
      <c r="EY52" s="2525"/>
      <c r="EZ52" s="2525"/>
      <c r="FA52" s="2525"/>
      <c r="FB52" s="2525"/>
      <c r="FC52" s="2525"/>
      <c r="FD52" s="708"/>
      <c r="FE52" s="708"/>
      <c r="FF52" s="708"/>
      <c r="FG52" s="708"/>
      <c r="FH52" s="708"/>
      <c r="FI52" s="708"/>
      <c r="FJ52" s="708"/>
      <c r="FK52" s="708"/>
      <c r="FL52" s="708"/>
      <c r="FM52" s="708"/>
      <c r="FN52" s="708"/>
      <c r="FO52" s="708"/>
      <c r="FP52" s="708"/>
      <c r="FQ52" s="708"/>
      <c r="FR52" s="708"/>
      <c r="FS52" s="708"/>
      <c r="FT52" s="708"/>
      <c r="FU52" s="708"/>
      <c r="FV52" s="708"/>
      <c r="FW52" s="708"/>
      <c r="FX52" s="708"/>
      <c r="FY52" s="708"/>
      <c r="FZ52" s="708"/>
      <c r="GA52" s="708"/>
      <c r="GB52" s="708"/>
      <c r="GC52" s="708"/>
      <c r="GD52" s="708"/>
      <c r="GE52" s="708"/>
      <c r="GF52" s="708"/>
      <c r="GG52" s="708"/>
      <c r="GH52" s="708"/>
      <c r="GI52" s="708"/>
      <c r="GJ52" s="708"/>
      <c r="GK52" s="708"/>
      <c r="GL52" s="708"/>
      <c r="GM52" s="708"/>
      <c r="GN52" s="708"/>
      <c r="GO52" s="708"/>
      <c r="GP52" s="708"/>
      <c r="GQ52" s="708"/>
      <c r="GR52" s="708"/>
      <c r="GS52" s="708"/>
      <c r="GT52" s="708"/>
      <c r="GU52" s="708"/>
      <c r="GV52" s="708"/>
      <c r="GW52" s="708"/>
      <c r="GX52" s="708"/>
      <c r="GY52" s="708"/>
      <c r="GZ52" s="708"/>
      <c r="HA52" s="708"/>
      <c r="HB52" s="708"/>
      <c r="HC52" s="708"/>
      <c r="HD52" s="708"/>
      <c r="HE52" s="708"/>
      <c r="HF52" s="708"/>
      <c r="HG52" s="708"/>
      <c r="HH52" s="708"/>
      <c r="HI52" s="708"/>
      <c r="HJ52" s="708"/>
      <c r="HK52" s="708"/>
      <c r="HL52" s="708"/>
      <c r="HM52" s="708"/>
      <c r="HN52" s="708"/>
      <c r="HO52" s="708"/>
      <c r="HP52" s="708"/>
      <c r="HQ52" s="708"/>
      <c r="HR52" s="708"/>
      <c r="HS52" s="708"/>
      <c r="HT52" s="708"/>
      <c r="HU52" s="708"/>
      <c r="HV52" s="708"/>
      <c r="HW52" s="708"/>
      <c r="HX52" s="708"/>
      <c r="HY52" s="708"/>
      <c r="HZ52" s="708"/>
      <c r="IA52" s="708"/>
      <c r="IB52" s="708"/>
      <c r="IC52" s="708"/>
      <c r="ID52" s="708"/>
      <c r="IE52" s="708"/>
      <c r="IF52" s="708"/>
      <c r="IG52" s="708"/>
      <c r="IH52" s="708"/>
      <c r="II52" s="708"/>
      <c r="IJ52" s="708"/>
      <c r="IK52" s="708"/>
      <c r="IL52" s="708"/>
      <c r="IM52" s="708"/>
      <c r="IN52" s="708"/>
      <c r="IO52" s="708"/>
      <c r="IP52" s="708"/>
      <c r="IQ52" s="708"/>
      <c r="IR52" s="708"/>
      <c r="IS52" s="708"/>
      <c r="IT52" s="708"/>
      <c r="IU52" s="708"/>
      <c r="IV52" s="708"/>
      <c r="IW52" s="708"/>
      <c r="IX52" s="708"/>
      <c r="IY52" s="708"/>
      <c r="IZ52" s="708"/>
      <c r="JA52" s="708"/>
      <c r="JB52" s="2525"/>
      <c r="JC52" s="2525"/>
      <c r="JD52" s="2525"/>
      <c r="JE52" s="2525"/>
      <c r="JF52" s="2525"/>
      <c r="JG52" s="2525"/>
      <c r="JH52" s="2525"/>
      <c r="JI52" s="2525"/>
      <c r="JJ52" s="2525"/>
      <c r="JK52" s="2525"/>
      <c r="JL52" s="2525"/>
      <c r="JM52" s="2525"/>
      <c r="JN52" s="2525"/>
      <c r="JO52" s="2525"/>
      <c r="JP52" s="2525"/>
      <c r="JQ52" s="2525"/>
      <c r="JS52" s="2525"/>
      <c r="JT52" s="2525"/>
      <c r="JU52" s="2525"/>
      <c r="JV52" s="2525"/>
      <c r="JW52" s="2525"/>
      <c r="JX52" s="2525"/>
      <c r="JY52" s="2525"/>
      <c r="JZ52" s="2525"/>
      <c r="KA52" s="708"/>
      <c r="KB52" s="708"/>
      <c r="KC52" s="708"/>
      <c r="KD52" s="708"/>
      <c r="KE52" s="708"/>
      <c r="KF52" s="708"/>
      <c r="KG52" s="708"/>
      <c r="KH52" s="708"/>
      <c r="KI52" s="708"/>
      <c r="KJ52" s="421"/>
      <c r="KK52" s="421"/>
      <c r="KL52" s="708"/>
      <c r="KM52" s="708"/>
      <c r="KN52" s="2525"/>
      <c r="KO52" s="2525"/>
      <c r="KP52" s="2525"/>
      <c r="KQ52" s="2525"/>
      <c r="KR52" s="2525"/>
      <c r="KS52" s="2525"/>
      <c r="KT52" s="2525"/>
      <c r="KU52" s="2525"/>
      <c r="KV52" s="2525"/>
      <c r="KW52" s="2525"/>
      <c r="KX52" s="2525"/>
      <c r="KY52" s="2525"/>
      <c r="KZ52" s="2525"/>
      <c r="LA52" s="2525"/>
      <c r="LB52" s="2525"/>
      <c r="LC52" s="2525"/>
      <c r="LD52" s="2525"/>
      <c r="LE52" s="2525"/>
      <c r="LF52" s="2525"/>
      <c r="LG52" s="2525"/>
      <c r="LH52" s="2525"/>
      <c r="LI52" s="2525"/>
      <c r="LJ52" s="2525"/>
      <c r="LK52" s="2525"/>
      <c r="LL52" s="2525"/>
      <c r="LM52" s="2525"/>
      <c r="LN52" s="2525"/>
      <c r="LO52" s="2525"/>
      <c r="LP52" s="2525"/>
      <c r="LQ52" s="2525"/>
      <c r="LR52" s="2525"/>
    </row>
    <row r="53" spans="1:330">
      <c r="A53" s="2525"/>
      <c r="B53" s="2525"/>
      <c r="C53" s="2525"/>
      <c r="D53" s="2525"/>
      <c r="E53" s="2525"/>
      <c r="F53" s="2525"/>
      <c r="G53" s="2525"/>
      <c r="H53" s="2525"/>
      <c r="I53" s="2525"/>
      <c r="J53" s="2525"/>
      <c r="K53" s="2525"/>
      <c r="L53" s="2525"/>
      <c r="M53" s="2525"/>
      <c r="N53" s="2525"/>
      <c r="O53" s="2525"/>
      <c r="P53" s="2525"/>
      <c r="Q53" s="2525"/>
      <c r="R53" s="2525"/>
      <c r="S53" s="2525"/>
      <c r="T53" s="2525"/>
      <c r="U53" s="2525"/>
      <c r="V53" s="2525"/>
      <c r="W53" s="2525"/>
      <c r="X53" s="2525"/>
      <c r="Y53" s="2525"/>
      <c r="Z53" s="2525"/>
      <c r="AA53" s="2525"/>
      <c r="AB53" s="2525"/>
      <c r="AC53" s="2525"/>
      <c r="AD53" s="2525"/>
      <c r="AE53" s="2525"/>
      <c r="AF53" s="2525"/>
      <c r="AG53" s="2525"/>
      <c r="AH53" s="2525"/>
      <c r="AI53" s="2525"/>
      <c r="AJ53" s="2525"/>
      <c r="AK53" s="2525"/>
      <c r="AL53" s="2525"/>
      <c r="AM53" s="2525"/>
      <c r="AN53" s="2525"/>
      <c r="AO53" s="2525"/>
      <c r="AP53" s="2525"/>
      <c r="AQ53" s="2525"/>
      <c r="AR53" s="2525"/>
      <c r="AS53" s="2525"/>
      <c r="AT53" s="2525"/>
      <c r="AU53" s="2525"/>
      <c r="AV53" s="2525"/>
      <c r="AW53" s="2525"/>
      <c r="AX53" s="2525"/>
      <c r="AY53" s="2525"/>
      <c r="AZ53" s="2525"/>
      <c r="BA53" s="2525"/>
      <c r="BB53" s="2525"/>
      <c r="BC53" s="2525"/>
      <c r="BD53" s="2525"/>
      <c r="BE53" s="2525"/>
      <c r="BF53" s="2525"/>
      <c r="BG53" s="2525"/>
      <c r="BH53" s="2525"/>
      <c r="BI53" s="2525"/>
      <c r="BJ53" s="2525"/>
      <c r="BK53" s="2525"/>
      <c r="BL53" s="2525"/>
      <c r="BM53" s="2525"/>
      <c r="BN53" s="2525"/>
      <c r="BO53" s="2525"/>
      <c r="BP53" s="2525"/>
      <c r="BQ53" s="2525"/>
      <c r="BR53" s="2525"/>
      <c r="BS53" s="2525"/>
      <c r="BT53" s="2525"/>
      <c r="BU53" s="2525"/>
      <c r="BV53" s="2525"/>
      <c r="BW53" s="2525"/>
      <c r="BX53" s="2525"/>
      <c r="BY53" s="2525"/>
      <c r="BZ53" s="2525"/>
      <c r="CA53" s="2525"/>
      <c r="CB53" s="2525"/>
      <c r="CC53" s="2525"/>
      <c r="CD53" s="2525"/>
      <c r="CE53" s="2525"/>
      <c r="CF53" s="2525"/>
      <c r="CG53" s="2525"/>
      <c r="CH53" s="2525"/>
      <c r="CI53" s="2525"/>
      <c r="CJ53" s="2525"/>
      <c r="CK53" s="2525"/>
      <c r="CL53" s="2525"/>
      <c r="CM53" s="2525"/>
      <c r="CN53" s="2525"/>
      <c r="CO53" s="2525"/>
      <c r="CP53" s="2525"/>
      <c r="CQ53" s="2525"/>
      <c r="CR53" s="2525"/>
      <c r="CS53" s="2525"/>
      <c r="CT53" s="2525"/>
      <c r="CU53" s="2525"/>
      <c r="CV53" s="2525"/>
      <c r="CW53" s="2525"/>
      <c r="CX53" s="2525"/>
      <c r="CY53" s="2525"/>
      <c r="CZ53" s="2525"/>
      <c r="DA53" s="2525"/>
      <c r="DB53" s="2525"/>
      <c r="DC53" s="2525"/>
      <c r="DD53" s="2525"/>
      <c r="DE53" s="2525"/>
      <c r="DF53" s="2525"/>
      <c r="DG53" s="2525"/>
      <c r="DH53" s="2525"/>
      <c r="DI53" s="2525"/>
      <c r="DJ53" s="2525"/>
      <c r="DK53" s="2525"/>
      <c r="DL53" s="2525"/>
      <c r="DM53" s="2525"/>
      <c r="DN53" s="2525"/>
      <c r="DO53" s="2525"/>
      <c r="DP53" s="2525"/>
      <c r="DQ53" s="2525"/>
      <c r="DR53" s="2525"/>
      <c r="DS53" s="2525"/>
      <c r="DT53" s="2525"/>
      <c r="DU53" s="2525"/>
      <c r="DV53" s="2525"/>
      <c r="DW53" s="2525"/>
      <c r="DX53" s="2525"/>
      <c r="DY53" s="2525"/>
      <c r="DZ53" s="2525"/>
      <c r="EA53" s="2525"/>
      <c r="EB53" s="2525"/>
      <c r="EC53" s="2525"/>
      <c r="ED53" s="2525"/>
      <c r="EE53" s="2525"/>
      <c r="EF53" s="2525"/>
      <c r="EG53" s="2525"/>
      <c r="EH53" s="2525"/>
      <c r="EI53" s="2525"/>
      <c r="EJ53" s="2525"/>
      <c r="EK53" s="2525"/>
      <c r="EL53" s="2525"/>
      <c r="EM53" s="2525"/>
      <c r="EN53" s="2525"/>
      <c r="EO53" s="2525"/>
      <c r="EP53" s="2525"/>
      <c r="EQ53" s="2525"/>
      <c r="ER53" s="2525"/>
      <c r="ES53" s="2525"/>
      <c r="ET53" s="2525"/>
      <c r="EU53" s="2525"/>
      <c r="EV53" s="2525"/>
      <c r="EW53" s="2525"/>
      <c r="EX53" s="2525"/>
      <c r="EY53" s="2525"/>
      <c r="EZ53" s="2525"/>
      <c r="FA53" s="2525"/>
      <c r="FB53" s="2525"/>
      <c r="FC53" s="2525"/>
      <c r="FD53" s="708"/>
      <c r="FE53" s="708"/>
      <c r="FF53" s="708"/>
      <c r="FG53" s="708"/>
      <c r="FH53" s="708"/>
      <c r="FI53" s="708"/>
      <c r="FJ53" s="708"/>
      <c r="FK53" s="708"/>
      <c r="FL53" s="708"/>
      <c r="FM53" s="708"/>
      <c r="FN53" s="708"/>
      <c r="FO53" s="708"/>
      <c r="FP53" s="708"/>
      <c r="FQ53" s="708"/>
      <c r="FR53" s="708"/>
      <c r="FS53" s="708"/>
      <c r="FT53" s="708"/>
      <c r="FU53" s="708"/>
      <c r="FV53" s="708"/>
      <c r="FW53" s="708"/>
      <c r="FX53" s="708"/>
      <c r="FY53" s="708"/>
      <c r="FZ53" s="708"/>
      <c r="GA53" s="708"/>
      <c r="GB53" s="708"/>
      <c r="GC53" s="708"/>
      <c r="GD53" s="708"/>
      <c r="GE53" s="708"/>
      <c r="GF53" s="708"/>
      <c r="GG53" s="708"/>
      <c r="GH53" s="708"/>
      <c r="GI53" s="708"/>
      <c r="GJ53" s="708"/>
      <c r="GK53" s="708"/>
      <c r="GL53" s="708"/>
      <c r="GM53" s="708"/>
      <c r="GN53" s="708"/>
      <c r="GO53" s="708"/>
      <c r="GP53" s="708"/>
      <c r="GQ53" s="708"/>
      <c r="GR53" s="708"/>
      <c r="GS53" s="708"/>
      <c r="GT53" s="708"/>
      <c r="GU53" s="708"/>
      <c r="GV53" s="708"/>
      <c r="GW53" s="708"/>
      <c r="GX53" s="708"/>
      <c r="GY53" s="708"/>
      <c r="GZ53" s="708"/>
      <c r="HA53" s="708"/>
      <c r="HB53" s="708"/>
      <c r="HC53" s="708"/>
      <c r="HD53" s="708"/>
      <c r="HE53" s="708"/>
      <c r="HF53" s="708"/>
      <c r="HG53" s="708"/>
      <c r="HH53" s="708"/>
      <c r="HI53" s="708"/>
      <c r="HJ53" s="708"/>
      <c r="HK53" s="708"/>
      <c r="HL53" s="708"/>
      <c r="HM53" s="708"/>
      <c r="HN53" s="708"/>
      <c r="HO53" s="708"/>
      <c r="HP53" s="708"/>
      <c r="HQ53" s="708"/>
      <c r="HR53" s="708"/>
      <c r="HS53" s="708"/>
      <c r="HT53" s="708"/>
      <c r="HU53" s="708"/>
      <c r="HV53" s="708"/>
      <c r="HW53" s="708"/>
      <c r="HX53" s="708"/>
      <c r="HY53" s="708"/>
      <c r="HZ53" s="708"/>
      <c r="IA53" s="708"/>
      <c r="IB53" s="708"/>
      <c r="IC53" s="708"/>
      <c r="ID53" s="708"/>
      <c r="IE53" s="708"/>
      <c r="IF53" s="708"/>
      <c r="IG53" s="708"/>
      <c r="IH53" s="708"/>
      <c r="II53" s="708"/>
      <c r="IJ53" s="708"/>
      <c r="IK53" s="708"/>
      <c r="IL53" s="708"/>
      <c r="IM53" s="708"/>
      <c r="IN53" s="708"/>
      <c r="IO53" s="708"/>
      <c r="IP53" s="708"/>
      <c r="IQ53" s="708"/>
      <c r="IR53" s="708"/>
      <c r="IS53" s="708"/>
      <c r="IT53" s="708"/>
      <c r="IU53" s="708"/>
      <c r="IV53" s="708"/>
      <c r="IW53" s="708"/>
      <c r="IX53" s="708"/>
      <c r="IY53" s="708"/>
      <c r="IZ53" s="708"/>
      <c r="JA53" s="708"/>
      <c r="JB53" s="2525"/>
      <c r="JC53" s="2525"/>
      <c r="JD53" s="2525"/>
      <c r="JE53" s="2525"/>
      <c r="JF53" s="2525"/>
      <c r="JG53" s="2525"/>
      <c r="JH53" s="2525"/>
      <c r="JI53" s="2525"/>
      <c r="JJ53" s="2525"/>
      <c r="JK53" s="2525"/>
      <c r="JL53" s="2525"/>
      <c r="JM53" s="2525"/>
      <c r="JN53" s="2525"/>
      <c r="JO53" s="2525"/>
      <c r="JP53" s="2525"/>
      <c r="JQ53" s="2525"/>
      <c r="JS53" s="2525"/>
      <c r="JT53" s="2525"/>
      <c r="JU53" s="2525"/>
      <c r="JV53" s="2525"/>
      <c r="JW53" s="2525"/>
      <c r="JX53" s="2525"/>
      <c r="JY53" s="2525"/>
      <c r="JZ53" s="2525"/>
      <c r="KA53" s="708"/>
      <c r="KB53" s="708"/>
      <c r="KC53" s="708"/>
      <c r="KD53" s="708"/>
      <c r="KE53" s="708"/>
      <c r="KF53" s="708"/>
      <c r="KG53" s="708"/>
      <c r="KH53" s="708"/>
      <c r="KI53" s="708"/>
      <c r="KJ53" s="421"/>
      <c r="KK53" s="421"/>
      <c r="KL53" s="708"/>
      <c r="KM53" s="708"/>
      <c r="KN53" s="2525"/>
      <c r="KO53" s="2525"/>
      <c r="KP53" s="2525"/>
      <c r="KQ53" s="2525"/>
      <c r="KR53" s="2525"/>
      <c r="KS53" s="2525"/>
      <c r="KT53" s="2525"/>
      <c r="KU53" s="2525"/>
      <c r="KV53" s="2525"/>
      <c r="KW53" s="2525"/>
      <c r="KX53" s="2525"/>
      <c r="KY53" s="2525"/>
      <c r="KZ53" s="2525"/>
      <c r="LA53" s="2525"/>
      <c r="LB53" s="2525"/>
      <c r="LC53" s="2525"/>
      <c r="LD53" s="2525"/>
      <c r="LE53" s="2525"/>
      <c r="LF53" s="2525"/>
      <c r="LG53" s="2525"/>
      <c r="LH53" s="2525"/>
      <c r="LI53" s="2525"/>
      <c r="LJ53" s="2525"/>
      <c r="LK53" s="2525"/>
      <c r="LL53" s="2525"/>
      <c r="LM53" s="2525"/>
      <c r="LN53" s="2525"/>
      <c r="LO53" s="2525"/>
      <c r="LP53" s="2525"/>
      <c r="LQ53" s="2525"/>
      <c r="LR53" s="2525"/>
    </row>
    <row r="54" spans="1:330">
      <c r="A54" s="2525"/>
      <c r="B54" s="2525"/>
      <c r="C54" s="2525"/>
      <c r="D54" s="2525"/>
      <c r="E54" s="2525"/>
      <c r="F54" s="2525"/>
      <c r="G54" s="2525"/>
      <c r="H54" s="2525"/>
      <c r="I54" s="2525"/>
      <c r="J54" s="2525"/>
      <c r="K54" s="2525"/>
      <c r="L54" s="2525"/>
      <c r="M54" s="2525"/>
      <c r="N54" s="2525"/>
      <c r="O54" s="2525"/>
      <c r="P54" s="2525"/>
      <c r="Q54" s="2525"/>
      <c r="R54" s="2525"/>
      <c r="S54" s="2525"/>
      <c r="T54" s="2525"/>
      <c r="U54" s="2525"/>
      <c r="V54" s="2525"/>
      <c r="W54" s="2525"/>
      <c r="X54" s="2525"/>
      <c r="Y54" s="2525"/>
      <c r="Z54" s="2525"/>
      <c r="AA54" s="2525"/>
      <c r="AB54" s="2525"/>
      <c r="AC54" s="2525"/>
      <c r="AD54" s="2525"/>
      <c r="AE54" s="2525"/>
      <c r="AF54" s="2525"/>
      <c r="AG54" s="2525"/>
      <c r="AH54" s="2525"/>
      <c r="AI54" s="2525"/>
      <c r="AJ54" s="2525"/>
      <c r="AK54" s="2525"/>
      <c r="AL54" s="2525"/>
      <c r="AM54" s="2525"/>
      <c r="AN54" s="2525"/>
      <c r="AO54" s="2525"/>
      <c r="AP54" s="2525"/>
      <c r="AQ54" s="2525"/>
      <c r="AR54" s="2525"/>
      <c r="AS54" s="2525"/>
      <c r="AT54" s="2525"/>
      <c r="AU54" s="2525"/>
      <c r="AV54" s="2525"/>
      <c r="AW54" s="2525"/>
      <c r="AX54" s="2525"/>
      <c r="AY54" s="2525"/>
      <c r="AZ54" s="2525"/>
      <c r="BA54" s="2525"/>
      <c r="BB54" s="2525"/>
      <c r="BC54" s="2525"/>
      <c r="BD54" s="2525"/>
      <c r="BE54" s="2525"/>
      <c r="BF54" s="2525"/>
      <c r="BG54" s="2525"/>
      <c r="BH54" s="2525"/>
      <c r="BI54" s="2525"/>
      <c r="BJ54" s="2525"/>
      <c r="BK54" s="2525"/>
      <c r="BL54" s="2525"/>
      <c r="BM54" s="2525"/>
      <c r="BN54" s="2525"/>
      <c r="BO54" s="2525"/>
      <c r="BP54" s="2525"/>
      <c r="BQ54" s="2525"/>
      <c r="BR54" s="2525"/>
      <c r="BS54" s="2525"/>
      <c r="BT54" s="2525"/>
      <c r="BU54" s="2525"/>
      <c r="BV54" s="2525"/>
      <c r="BW54" s="2525"/>
      <c r="BX54" s="2525"/>
      <c r="BY54" s="2525"/>
      <c r="BZ54" s="2525"/>
      <c r="CA54" s="2525"/>
      <c r="CB54" s="2525"/>
      <c r="CC54" s="2525"/>
      <c r="CD54" s="2525"/>
      <c r="CE54" s="2525"/>
      <c r="CF54" s="2525"/>
      <c r="CG54" s="2525"/>
      <c r="CH54" s="2525"/>
      <c r="CI54" s="2525"/>
      <c r="CJ54" s="2525"/>
      <c r="CK54" s="2525"/>
      <c r="CL54" s="2525"/>
      <c r="CM54" s="2525"/>
      <c r="CN54" s="2525"/>
      <c r="CO54" s="2525"/>
      <c r="CP54" s="2525"/>
      <c r="CQ54" s="2525"/>
      <c r="CR54" s="2525"/>
      <c r="CS54" s="2525"/>
      <c r="CT54" s="2525"/>
      <c r="CU54" s="2525"/>
      <c r="CV54" s="2525"/>
      <c r="CW54" s="2525"/>
      <c r="CX54" s="2525"/>
      <c r="CY54" s="2525"/>
      <c r="CZ54" s="2525"/>
      <c r="DA54" s="2525"/>
      <c r="DB54" s="2525"/>
      <c r="DC54" s="2525"/>
      <c r="DD54" s="2525"/>
      <c r="DE54" s="2525"/>
      <c r="DF54" s="2525"/>
      <c r="DG54" s="2525"/>
      <c r="DH54" s="2525"/>
      <c r="DI54" s="2525"/>
      <c r="DJ54" s="2525"/>
      <c r="DK54" s="2525"/>
      <c r="DL54" s="2525"/>
      <c r="DM54" s="2525"/>
      <c r="DN54" s="2525"/>
      <c r="DO54" s="2525"/>
      <c r="DP54" s="2525"/>
      <c r="DQ54" s="2525"/>
      <c r="DR54" s="2525"/>
      <c r="DS54" s="2525"/>
      <c r="DT54" s="2525"/>
      <c r="DU54" s="2525"/>
      <c r="DV54" s="2525"/>
      <c r="DW54" s="2525"/>
      <c r="DX54" s="2525"/>
      <c r="DY54" s="2525"/>
      <c r="DZ54" s="2525"/>
      <c r="EA54" s="2525"/>
      <c r="EB54" s="2525"/>
      <c r="EC54" s="2525"/>
      <c r="ED54" s="2525"/>
      <c r="EE54" s="2525"/>
      <c r="EF54" s="2525"/>
      <c r="EG54" s="2525"/>
      <c r="EH54" s="2525"/>
      <c r="EI54" s="2525"/>
      <c r="EJ54" s="2525"/>
      <c r="EK54" s="2525"/>
      <c r="EL54" s="2525"/>
      <c r="EM54" s="2525"/>
      <c r="EN54" s="2525"/>
      <c r="EO54" s="2525"/>
      <c r="EP54" s="2525"/>
      <c r="EQ54" s="2525"/>
      <c r="ER54" s="2525"/>
      <c r="ES54" s="2525"/>
      <c r="ET54" s="2525"/>
      <c r="EU54" s="2525"/>
      <c r="EV54" s="2525"/>
      <c r="EW54" s="2525"/>
      <c r="EX54" s="2525"/>
      <c r="EY54" s="2525"/>
      <c r="EZ54" s="2525"/>
      <c r="FA54" s="2525"/>
      <c r="FB54" s="2525"/>
      <c r="FC54" s="2525"/>
      <c r="FD54" s="708"/>
      <c r="FE54" s="708"/>
      <c r="FF54" s="708"/>
      <c r="FG54" s="708"/>
      <c r="FH54" s="708"/>
      <c r="FI54" s="708"/>
      <c r="FJ54" s="708"/>
      <c r="FK54" s="708"/>
      <c r="FL54" s="708"/>
      <c r="FM54" s="708"/>
      <c r="FN54" s="708"/>
      <c r="FO54" s="708"/>
      <c r="FP54" s="708"/>
      <c r="FQ54" s="708"/>
      <c r="FR54" s="708"/>
      <c r="FS54" s="708"/>
      <c r="FT54" s="708"/>
      <c r="FU54" s="708"/>
      <c r="FV54" s="708"/>
      <c r="FW54" s="708"/>
      <c r="FX54" s="708"/>
      <c r="FY54" s="708"/>
      <c r="FZ54" s="708"/>
      <c r="GA54" s="708"/>
      <c r="GB54" s="708"/>
      <c r="GC54" s="708"/>
      <c r="GD54" s="708"/>
      <c r="GE54" s="708"/>
      <c r="GF54" s="708"/>
      <c r="GG54" s="708"/>
      <c r="GH54" s="708"/>
      <c r="GI54" s="708"/>
      <c r="GJ54" s="708"/>
      <c r="GK54" s="708"/>
      <c r="GL54" s="708"/>
      <c r="GM54" s="708"/>
      <c r="GN54" s="708"/>
      <c r="GO54" s="708"/>
      <c r="GP54" s="708"/>
      <c r="GQ54" s="708"/>
      <c r="GR54" s="708"/>
      <c r="GS54" s="708"/>
      <c r="GT54" s="708"/>
      <c r="GU54" s="708"/>
      <c r="GV54" s="708"/>
      <c r="GW54" s="708"/>
      <c r="GX54" s="708"/>
      <c r="GY54" s="708"/>
      <c r="GZ54" s="708"/>
      <c r="HA54" s="708"/>
      <c r="HB54" s="708"/>
      <c r="HC54" s="708"/>
      <c r="HD54" s="708"/>
      <c r="HE54" s="708"/>
      <c r="HF54" s="708"/>
      <c r="HG54" s="708"/>
      <c r="HH54" s="708"/>
      <c r="HI54" s="708"/>
      <c r="HJ54" s="708"/>
      <c r="HK54" s="708"/>
      <c r="HL54" s="708"/>
      <c r="HM54" s="708"/>
      <c r="HN54" s="708"/>
      <c r="HO54" s="708"/>
      <c r="HP54" s="708"/>
      <c r="HQ54" s="708"/>
      <c r="HR54" s="708"/>
      <c r="HS54" s="708"/>
      <c r="HT54" s="708"/>
      <c r="HU54" s="708"/>
      <c r="HV54" s="708"/>
      <c r="HW54" s="708"/>
      <c r="HX54" s="708"/>
      <c r="HY54" s="708"/>
      <c r="HZ54" s="708"/>
      <c r="IA54" s="708"/>
      <c r="IB54" s="708"/>
      <c r="IC54" s="708"/>
      <c r="ID54" s="708"/>
      <c r="IE54" s="708"/>
      <c r="IF54" s="708"/>
      <c r="IG54" s="708"/>
      <c r="IH54" s="708"/>
      <c r="II54" s="708"/>
      <c r="IJ54" s="708"/>
      <c r="IK54" s="708"/>
      <c r="IL54" s="708"/>
      <c r="IM54" s="708"/>
      <c r="IN54" s="708"/>
      <c r="IO54" s="708"/>
      <c r="IP54" s="708"/>
      <c r="IQ54" s="708"/>
      <c r="IR54" s="708"/>
      <c r="IS54" s="708"/>
      <c r="IT54" s="708"/>
      <c r="IU54" s="708"/>
      <c r="IV54" s="708"/>
      <c r="IW54" s="708"/>
      <c r="IX54" s="708"/>
      <c r="IY54" s="708"/>
      <c r="IZ54" s="708"/>
      <c r="JA54" s="708"/>
      <c r="JB54" s="2525"/>
      <c r="JC54" s="2525"/>
      <c r="JD54" s="2525"/>
      <c r="JE54" s="2525"/>
      <c r="JF54" s="2525"/>
      <c r="JG54" s="2525"/>
      <c r="JH54" s="2525"/>
      <c r="JI54" s="2525"/>
      <c r="JJ54" s="2525"/>
      <c r="JK54" s="2525"/>
      <c r="JL54" s="2525"/>
      <c r="JM54" s="2525"/>
      <c r="JN54" s="2525"/>
      <c r="JO54" s="2525"/>
      <c r="JP54" s="2525"/>
      <c r="JQ54" s="2525"/>
      <c r="JS54" s="2525"/>
      <c r="JT54" s="2525"/>
      <c r="JU54" s="2525"/>
      <c r="JV54" s="2525"/>
      <c r="JW54" s="2525"/>
      <c r="JX54" s="2525"/>
      <c r="JY54" s="2525"/>
      <c r="JZ54" s="2525"/>
      <c r="KA54" s="708"/>
      <c r="KB54" s="708"/>
      <c r="KC54" s="708"/>
      <c r="KD54" s="708"/>
      <c r="KE54" s="708"/>
      <c r="KF54" s="708"/>
      <c r="KG54" s="708"/>
      <c r="KH54" s="708"/>
      <c r="KI54" s="708"/>
      <c r="KJ54" s="421"/>
      <c r="KK54" s="421"/>
      <c r="KL54" s="708"/>
      <c r="KM54" s="708"/>
      <c r="KN54" s="2525"/>
      <c r="KO54" s="2525"/>
      <c r="KP54" s="2525"/>
      <c r="KQ54" s="2525"/>
      <c r="KR54" s="2525"/>
      <c r="KS54" s="2525"/>
      <c r="KT54" s="2525"/>
      <c r="KU54" s="2525"/>
      <c r="KV54" s="2525"/>
      <c r="KW54" s="2525"/>
      <c r="KX54" s="2525"/>
      <c r="KY54" s="2525"/>
      <c r="KZ54" s="2525"/>
      <c r="LA54" s="2525"/>
      <c r="LB54" s="2525"/>
      <c r="LC54" s="2525"/>
      <c r="LD54" s="2525"/>
      <c r="LE54" s="2525"/>
      <c r="LF54" s="2525"/>
      <c r="LG54" s="2525"/>
      <c r="LH54" s="2525"/>
      <c r="LI54" s="2525"/>
      <c r="LJ54" s="2525"/>
      <c r="LK54" s="2525"/>
      <c r="LL54" s="2525"/>
      <c r="LM54" s="2525"/>
      <c r="LN54" s="2525"/>
      <c r="LO54" s="2525"/>
      <c r="LP54" s="2525"/>
      <c r="LQ54" s="2525"/>
      <c r="LR54" s="2525"/>
    </row>
    <row r="55" spans="1:330">
      <c r="A55" s="2525"/>
      <c r="B55" s="2525"/>
      <c r="C55" s="2525"/>
      <c r="D55" s="2525"/>
      <c r="E55" s="2525"/>
      <c r="F55" s="2525"/>
      <c r="G55" s="2525"/>
      <c r="H55" s="2525"/>
      <c r="I55" s="2525"/>
      <c r="J55" s="2525"/>
      <c r="K55" s="2525"/>
      <c r="L55" s="2525"/>
      <c r="M55" s="2525"/>
      <c r="N55" s="2525"/>
      <c r="O55" s="2525"/>
      <c r="P55" s="2525"/>
      <c r="Q55" s="2525"/>
      <c r="R55" s="2525"/>
      <c r="S55" s="2525"/>
      <c r="T55" s="2525"/>
      <c r="U55" s="2525"/>
      <c r="V55" s="2525"/>
      <c r="W55" s="2525"/>
      <c r="X55" s="2525"/>
      <c r="Y55" s="2525"/>
      <c r="Z55" s="2525"/>
      <c r="AA55" s="2525"/>
      <c r="AB55" s="2525"/>
      <c r="AC55" s="2525"/>
      <c r="AD55" s="2525"/>
      <c r="AE55" s="2525"/>
      <c r="AF55" s="2525"/>
      <c r="AG55" s="2525"/>
      <c r="AH55" s="2525"/>
      <c r="AI55" s="2525"/>
      <c r="AJ55" s="2525"/>
      <c r="AK55" s="2525"/>
      <c r="AL55" s="2525"/>
      <c r="AM55" s="2525"/>
      <c r="AN55" s="2525"/>
      <c r="AO55" s="2525"/>
      <c r="AP55" s="2525"/>
      <c r="AQ55" s="2525"/>
      <c r="AR55" s="2525"/>
      <c r="AS55" s="2525"/>
      <c r="AT55" s="2525"/>
      <c r="AU55" s="2525"/>
      <c r="AV55" s="2525"/>
      <c r="AW55" s="2525"/>
      <c r="AX55" s="2525"/>
      <c r="AY55" s="2525"/>
      <c r="AZ55" s="2525"/>
      <c r="BA55" s="2525"/>
      <c r="BB55" s="2525"/>
      <c r="BC55" s="2525"/>
      <c r="BD55" s="2525"/>
      <c r="BE55" s="2525"/>
      <c r="BF55" s="2525"/>
      <c r="BG55" s="2525"/>
      <c r="BH55" s="2525"/>
      <c r="BI55" s="2525"/>
      <c r="BJ55" s="2525"/>
      <c r="BK55" s="2525"/>
      <c r="BL55" s="2525"/>
      <c r="BM55" s="2525"/>
      <c r="BN55" s="2525"/>
      <c r="BO55" s="2525"/>
      <c r="BP55" s="2525"/>
      <c r="BQ55" s="2525"/>
      <c r="BR55" s="2525"/>
      <c r="BS55" s="2525"/>
      <c r="BT55" s="2525"/>
      <c r="BU55" s="2525"/>
      <c r="BV55" s="2525"/>
      <c r="BW55" s="2525"/>
      <c r="BX55" s="2525"/>
      <c r="BY55" s="2525"/>
      <c r="BZ55" s="2525"/>
      <c r="CA55" s="2525"/>
      <c r="CB55" s="2525"/>
      <c r="CC55" s="2525"/>
      <c r="CD55" s="2525"/>
      <c r="CE55" s="2525"/>
      <c r="CF55" s="2525"/>
      <c r="CG55" s="2525"/>
      <c r="CH55" s="2525"/>
      <c r="CI55" s="2525"/>
      <c r="CJ55" s="2525"/>
      <c r="CK55" s="2525"/>
      <c r="CL55" s="2525"/>
      <c r="CM55" s="2525"/>
      <c r="CN55" s="2525"/>
      <c r="CO55" s="2525"/>
      <c r="CP55" s="2525"/>
      <c r="CQ55" s="2525"/>
      <c r="CR55" s="2525"/>
      <c r="CS55" s="2525"/>
      <c r="CT55" s="2525"/>
      <c r="CU55" s="2525"/>
      <c r="CV55" s="2525"/>
      <c r="CW55" s="2525"/>
      <c r="CX55" s="2525"/>
      <c r="CY55" s="2525"/>
      <c r="CZ55" s="2525"/>
      <c r="DA55" s="2525"/>
      <c r="DB55" s="2525"/>
      <c r="DC55" s="2525"/>
      <c r="DD55" s="2525"/>
      <c r="DE55" s="2525"/>
      <c r="DF55" s="2525"/>
      <c r="DG55" s="2525"/>
      <c r="DH55" s="2525"/>
      <c r="DI55" s="2525"/>
      <c r="DJ55" s="2525"/>
      <c r="DK55" s="2525"/>
      <c r="DL55" s="2525"/>
      <c r="DM55" s="2525"/>
      <c r="DN55" s="2525"/>
      <c r="DO55" s="2525"/>
      <c r="DP55" s="2525"/>
      <c r="DQ55" s="2525"/>
      <c r="DR55" s="2525"/>
      <c r="DS55" s="2525"/>
      <c r="DT55" s="2525"/>
      <c r="DU55" s="2525"/>
      <c r="DV55" s="2525"/>
      <c r="DW55" s="2525"/>
      <c r="DX55" s="2525"/>
      <c r="DY55" s="2525"/>
      <c r="DZ55" s="2525"/>
      <c r="EA55" s="2525"/>
      <c r="EB55" s="2525"/>
      <c r="EC55" s="2525"/>
      <c r="ED55" s="2525"/>
      <c r="EE55" s="2525"/>
      <c r="EF55" s="2525"/>
      <c r="EG55" s="2525"/>
      <c r="EH55" s="2525"/>
      <c r="EI55" s="2525"/>
      <c r="EJ55" s="2525"/>
      <c r="EK55" s="2525"/>
      <c r="EL55" s="2525"/>
      <c r="EM55" s="2525"/>
      <c r="EN55" s="2525"/>
      <c r="EO55" s="2525"/>
      <c r="EP55" s="2525"/>
      <c r="EQ55" s="2525"/>
      <c r="ER55" s="2525"/>
      <c r="ES55" s="2525"/>
      <c r="ET55" s="2525"/>
      <c r="EU55" s="2525"/>
      <c r="EV55" s="2525"/>
      <c r="EW55" s="2525"/>
      <c r="EX55" s="2525"/>
      <c r="EY55" s="2525"/>
      <c r="EZ55" s="2525"/>
      <c r="FA55" s="2525"/>
      <c r="FB55" s="2525"/>
      <c r="FC55" s="2525"/>
      <c r="FD55" s="708"/>
      <c r="FE55" s="708"/>
      <c r="FF55" s="708"/>
      <c r="FG55" s="708"/>
      <c r="FH55" s="708"/>
      <c r="FI55" s="708"/>
      <c r="FJ55" s="708"/>
      <c r="FK55" s="708"/>
      <c r="FL55" s="708"/>
      <c r="FM55" s="708"/>
      <c r="FN55" s="708"/>
      <c r="FO55" s="708"/>
      <c r="FP55" s="708"/>
      <c r="FQ55" s="708"/>
      <c r="FR55" s="708"/>
      <c r="FS55" s="708"/>
      <c r="FT55" s="708"/>
      <c r="FU55" s="708"/>
      <c r="FV55" s="708"/>
      <c r="FW55" s="708"/>
      <c r="FX55" s="708"/>
      <c r="FY55" s="708"/>
      <c r="FZ55" s="708"/>
      <c r="GA55" s="708"/>
      <c r="GB55" s="708"/>
      <c r="GC55" s="708"/>
      <c r="GD55" s="708"/>
      <c r="GE55" s="708"/>
      <c r="GF55" s="708"/>
      <c r="GG55" s="708"/>
      <c r="GH55" s="708"/>
      <c r="GI55" s="708"/>
      <c r="GJ55" s="708"/>
      <c r="GK55" s="708"/>
      <c r="GL55" s="708"/>
      <c r="GM55" s="708"/>
      <c r="GN55" s="708"/>
      <c r="GO55" s="708"/>
      <c r="GP55" s="708"/>
      <c r="GQ55" s="708"/>
      <c r="GR55" s="708"/>
      <c r="GS55" s="708"/>
      <c r="GT55" s="708"/>
      <c r="GU55" s="708"/>
      <c r="GV55" s="708"/>
      <c r="GW55" s="708"/>
      <c r="GX55" s="708"/>
      <c r="GY55" s="708"/>
      <c r="GZ55" s="708"/>
      <c r="HA55" s="708"/>
      <c r="HB55" s="708"/>
      <c r="HC55" s="708"/>
      <c r="HD55" s="708"/>
      <c r="HE55" s="708"/>
      <c r="HF55" s="708"/>
      <c r="HG55" s="708"/>
      <c r="HH55" s="708"/>
      <c r="HI55" s="708"/>
      <c r="HJ55" s="708"/>
      <c r="HK55" s="708"/>
      <c r="HL55" s="708"/>
      <c r="HM55" s="708"/>
      <c r="HN55" s="708"/>
      <c r="HO55" s="708"/>
      <c r="HP55" s="708"/>
      <c r="HQ55" s="708"/>
      <c r="HR55" s="708"/>
      <c r="HS55" s="708"/>
      <c r="HT55" s="708"/>
      <c r="HU55" s="708"/>
      <c r="HV55" s="708"/>
      <c r="HW55" s="708"/>
      <c r="HX55" s="708"/>
      <c r="HY55" s="708"/>
      <c r="HZ55" s="708"/>
      <c r="IA55" s="708"/>
      <c r="IB55" s="708"/>
      <c r="IC55" s="708"/>
      <c r="ID55" s="708"/>
      <c r="IE55" s="708"/>
      <c r="IF55" s="708"/>
      <c r="IG55" s="708"/>
      <c r="IH55" s="708"/>
      <c r="II55" s="708"/>
      <c r="IJ55" s="708"/>
      <c r="IK55" s="708"/>
      <c r="IL55" s="708"/>
      <c r="IM55" s="708"/>
      <c r="IN55" s="708"/>
      <c r="IO55" s="708"/>
      <c r="IP55" s="708"/>
      <c r="IQ55" s="708"/>
      <c r="IR55" s="708"/>
      <c r="IS55" s="708"/>
      <c r="IT55" s="708"/>
      <c r="IU55" s="708"/>
      <c r="IV55" s="708"/>
      <c r="IW55" s="708"/>
      <c r="IX55" s="708"/>
      <c r="IY55" s="708"/>
      <c r="IZ55" s="708"/>
      <c r="JA55" s="708"/>
      <c r="JB55" s="2525"/>
      <c r="JC55" s="2525"/>
      <c r="JD55" s="2525"/>
      <c r="JE55" s="2525"/>
      <c r="JF55" s="2525"/>
      <c r="JG55" s="2525"/>
      <c r="JH55" s="2525"/>
      <c r="JI55" s="2525"/>
      <c r="JJ55" s="2525"/>
      <c r="JK55" s="2525"/>
      <c r="JL55" s="2525"/>
      <c r="JM55" s="2525"/>
      <c r="JN55" s="2525"/>
      <c r="JO55" s="2525"/>
      <c r="JP55" s="2525"/>
      <c r="JQ55" s="2525"/>
      <c r="JS55" s="2525"/>
      <c r="JT55" s="2525"/>
      <c r="JU55" s="2525"/>
      <c r="JV55" s="2525"/>
      <c r="JW55" s="2525"/>
      <c r="JX55" s="2525"/>
      <c r="JY55" s="2525"/>
      <c r="JZ55" s="2525"/>
      <c r="KA55" s="708"/>
      <c r="KB55" s="708"/>
      <c r="KC55" s="708"/>
      <c r="KD55" s="708"/>
      <c r="KE55" s="708"/>
      <c r="KF55" s="708"/>
      <c r="KG55" s="708"/>
      <c r="KH55" s="708"/>
      <c r="KI55" s="708"/>
      <c r="KJ55" s="421"/>
      <c r="KK55" s="421"/>
      <c r="KL55" s="708"/>
      <c r="KM55" s="708"/>
      <c r="KN55" s="2525"/>
      <c r="KO55" s="2525"/>
      <c r="KP55" s="2525"/>
      <c r="KQ55" s="2525"/>
      <c r="KR55" s="2525"/>
      <c r="KS55" s="2525"/>
      <c r="KT55" s="2525"/>
      <c r="KU55" s="2525"/>
      <c r="KV55" s="2525"/>
      <c r="KW55" s="2525"/>
      <c r="KX55" s="2525"/>
      <c r="KY55" s="2525"/>
      <c r="KZ55" s="2525"/>
      <c r="LA55" s="2525"/>
      <c r="LB55" s="2525"/>
      <c r="LC55" s="2525"/>
      <c r="LD55" s="2525"/>
      <c r="LE55" s="2525"/>
      <c r="LF55" s="2525"/>
      <c r="LG55" s="2525"/>
      <c r="LH55" s="2525"/>
      <c r="LI55" s="2525"/>
      <c r="LJ55" s="2525"/>
      <c r="LK55" s="2525"/>
      <c r="LL55" s="2525"/>
      <c r="LM55" s="2525"/>
      <c r="LN55" s="2525"/>
      <c r="LO55" s="2525"/>
      <c r="LP55" s="2525"/>
      <c r="LQ55" s="2525"/>
      <c r="LR55" s="2525"/>
    </row>
    <row r="56" spans="1:330">
      <c r="A56" s="2525"/>
      <c r="B56" s="2525"/>
      <c r="C56" s="2525"/>
      <c r="D56" s="2525"/>
      <c r="E56" s="2525"/>
      <c r="F56" s="2525"/>
      <c r="G56" s="2525"/>
      <c r="H56" s="2525"/>
      <c r="I56" s="2525"/>
      <c r="J56" s="2525"/>
      <c r="K56" s="2525"/>
      <c r="L56" s="2525"/>
      <c r="M56" s="2525"/>
      <c r="N56" s="2525"/>
      <c r="O56" s="2525"/>
      <c r="P56" s="2525"/>
      <c r="Q56" s="2525"/>
      <c r="R56" s="2525"/>
      <c r="S56" s="2525"/>
      <c r="T56" s="2525"/>
      <c r="U56" s="2525"/>
      <c r="V56" s="2525"/>
      <c r="W56" s="2525"/>
      <c r="X56" s="2525"/>
      <c r="Y56" s="2525"/>
      <c r="Z56" s="2525"/>
      <c r="AA56" s="2525"/>
      <c r="AB56" s="2525"/>
      <c r="AC56" s="2525"/>
      <c r="AD56" s="2525"/>
      <c r="AE56" s="2525"/>
      <c r="AF56" s="2525"/>
      <c r="AG56" s="2525"/>
      <c r="AH56" s="2525"/>
      <c r="AI56" s="2525"/>
      <c r="AJ56" s="2525"/>
      <c r="AK56" s="2525"/>
      <c r="AL56" s="2525"/>
      <c r="AM56" s="2525"/>
      <c r="AN56" s="2525"/>
      <c r="AO56" s="2525"/>
      <c r="AP56" s="2525"/>
      <c r="AQ56" s="2525"/>
      <c r="AR56" s="2525"/>
      <c r="AS56" s="2525"/>
      <c r="AT56" s="2525"/>
      <c r="AU56" s="2525"/>
      <c r="AV56" s="2525"/>
      <c r="AW56" s="2525"/>
      <c r="AX56" s="2525"/>
      <c r="AY56" s="2525"/>
      <c r="AZ56" s="2525"/>
      <c r="BA56" s="2525"/>
      <c r="BB56" s="2525"/>
      <c r="BC56" s="2525"/>
      <c r="BD56" s="2525"/>
      <c r="BE56" s="2525"/>
      <c r="BF56" s="2525"/>
      <c r="BG56" s="2525"/>
      <c r="BH56" s="2525"/>
      <c r="BI56" s="2525"/>
      <c r="BJ56" s="2525"/>
      <c r="BK56" s="2525"/>
      <c r="BL56" s="2525"/>
      <c r="BM56" s="2525"/>
      <c r="BN56" s="2525"/>
      <c r="BO56" s="2525"/>
      <c r="BP56" s="2525"/>
      <c r="BQ56" s="2525"/>
      <c r="BR56" s="2525"/>
      <c r="BS56" s="2525"/>
      <c r="BT56" s="2525"/>
      <c r="BU56" s="2525"/>
      <c r="BV56" s="2525"/>
      <c r="BW56" s="2525"/>
      <c r="BX56" s="2525"/>
      <c r="BY56" s="2525"/>
      <c r="BZ56" s="2525"/>
      <c r="CA56" s="2525"/>
      <c r="CB56" s="2525"/>
      <c r="CC56" s="2525"/>
      <c r="CD56" s="2525"/>
      <c r="CE56" s="2525"/>
      <c r="CF56" s="2525"/>
      <c r="CG56" s="2525"/>
      <c r="CH56" s="2525"/>
      <c r="CI56" s="2525"/>
      <c r="CJ56" s="2525"/>
      <c r="CK56" s="2525"/>
      <c r="CL56" s="2525"/>
      <c r="CM56" s="2525"/>
      <c r="CN56" s="2525"/>
      <c r="CO56" s="2525"/>
      <c r="CP56" s="2525"/>
      <c r="CQ56" s="2525"/>
      <c r="CR56" s="2525"/>
      <c r="CS56" s="2525"/>
      <c r="CT56" s="2525"/>
      <c r="CU56" s="2525"/>
      <c r="CV56" s="2525"/>
      <c r="CW56" s="2525"/>
      <c r="CX56" s="2525"/>
      <c r="CY56" s="2525"/>
      <c r="CZ56" s="2525"/>
      <c r="DA56" s="2525"/>
      <c r="DB56" s="2525"/>
      <c r="DC56" s="2525"/>
      <c r="DD56" s="2525"/>
      <c r="DE56" s="2525"/>
      <c r="DF56" s="2525"/>
      <c r="DG56" s="2525"/>
      <c r="DH56" s="2525"/>
      <c r="DI56" s="2525"/>
      <c r="DJ56" s="2525"/>
      <c r="DK56" s="2525"/>
      <c r="DL56" s="2525"/>
      <c r="DM56" s="2525"/>
      <c r="DN56" s="2525"/>
      <c r="DO56" s="2525"/>
      <c r="DP56" s="2525"/>
      <c r="DQ56" s="2525"/>
      <c r="DR56" s="2525"/>
      <c r="DS56" s="2525"/>
      <c r="DT56" s="2525"/>
      <c r="DU56" s="2525"/>
      <c r="DV56" s="2525"/>
      <c r="DW56" s="2525"/>
      <c r="DX56" s="2525"/>
      <c r="DY56" s="2525"/>
      <c r="DZ56" s="2525"/>
      <c r="EA56" s="2525"/>
      <c r="EB56" s="2525"/>
      <c r="EC56" s="2525"/>
      <c r="ED56" s="2525"/>
      <c r="EE56" s="2525"/>
      <c r="EF56" s="2525"/>
      <c r="EG56" s="2525"/>
      <c r="EH56" s="2525"/>
      <c r="EI56" s="2525"/>
      <c r="EJ56" s="2525"/>
      <c r="EK56" s="2525"/>
      <c r="EL56" s="2525"/>
      <c r="EM56" s="2525"/>
      <c r="EN56" s="2525"/>
      <c r="EO56" s="2525"/>
      <c r="EP56" s="2525"/>
      <c r="EQ56" s="2525"/>
      <c r="ER56" s="2525"/>
      <c r="ES56" s="2525"/>
      <c r="ET56" s="2525"/>
      <c r="EU56" s="2525"/>
      <c r="EV56" s="2525"/>
      <c r="EW56" s="2525"/>
      <c r="EX56" s="2525"/>
      <c r="EY56" s="2525"/>
      <c r="EZ56" s="2525"/>
      <c r="FA56" s="2525"/>
      <c r="FB56" s="2525"/>
      <c r="FC56" s="2525"/>
      <c r="FD56" s="708"/>
      <c r="FE56" s="708"/>
      <c r="FF56" s="708"/>
      <c r="FG56" s="708"/>
      <c r="FH56" s="708"/>
      <c r="FI56" s="708"/>
      <c r="FJ56" s="708"/>
      <c r="FK56" s="708"/>
      <c r="FL56" s="708"/>
      <c r="FM56" s="708"/>
      <c r="FN56" s="708"/>
      <c r="FO56" s="708"/>
      <c r="FP56" s="708"/>
      <c r="FQ56" s="708"/>
      <c r="FR56" s="708"/>
      <c r="FS56" s="708"/>
      <c r="FT56" s="708"/>
      <c r="FU56" s="708"/>
      <c r="FV56" s="708"/>
      <c r="FW56" s="708"/>
      <c r="FX56" s="708"/>
      <c r="FY56" s="708"/>
      <c r="FZ56" s="708"/>
      <c r="GA56" s="708"/>
      <c r="GB56" s="708"/>
      <c r="GC56" s="708"/>
      <c r="GD56" s="708"/>
      <c r="GE56" s="708"/>
      <c r="GF56" s="708"/>
      <c r="GG56" s="708"/>
      <c r="GH56" s="708"/>
      <c r="GI56" s="708"/>
      <c r="GJ56" s="708"/>
      <c r="GK56" s="708"/>
      <c r="GL56" s="708"/>
      <c r="GM56" s="708"/>
      <c r="GN56" s="708"/>
      <c r="GO56" s="708"/>
      <c r="GP56" s="708"/>
      <c r="GQ56" s="708"/>
      <c r="GR56" s="708"/>
      <c r="GS56" s="708"/>
      <c r="GT56" s="708"/>
      <c r="GU56" s="708"/>
      <c r="GV56" s="708"/>
      <c r="GW56" s="708"/>
      <c r="GX56" s="708"/>
      <c r="GY56" s="708"/>
      <c r="GZ56" s="708"/>
      <c r="HA56" s="708"/>
      <c r="HB56" s="708"/>
      <c r="HC56" s="708"/>
      <c r="HD56" s="708"/>
      <c r="HE56" s="708"/>
      <c r="HF56" s="708"/>
      <c r="HG56" s="708"/>
      <c r="HH56" s="708"/>
      <c r="HI56" s="708"/>
      <c r="HJ56" s="708"/>
      <c r="HK56" s="708"/>
      <c r="HL56" s="708"/>
      <c r="HM56" s="708"/>
      <c r="HN56" s="708"/>
      <c r="HO56" s="708"/>
      <c r="HP56" s="708"/>
      <c r="HQ56" s="708"/>
      <c r="HR56" s="708"/>
      <c r="HS56" s="708"/>
      <c r="HT56" s="708"/>
      <c r="HU56" s="708"/>
      <c r="HV56" s="708"/>
      <c r="HW56" s="708"/>
      <c r="HX56" s="708"/>
      <c r="HY56" s="708"/>
      <c r="HZ56" s="708"/>
      <c r="IA56" s="708"/>
      <c r="IB56" s="708"/>
      <c r="IC56" s="708"/>
      <c r="ID56" s="708"/>
      <c r="IE56" s="708"/>
      <c r="IF56" s="708"/>
      <c r="IG56" s="708"/>
      <c r="IH56" s="708"/>
      <c r="II56" s="708"/>
      <c r="IJ56" s="708"/>
      <c r="IK56" s="708"/>
      <c r="IL56" s="708"/>
      <c r="IM56" s="708"/>
      <c r="IN56" s="708"/>
      <c r="IO56" s="708"/>
      <c r="IP56" s="708"/>
      <c r="IQ56" s="708"/>
      <c r="IR56" s="708"/>
      <c r="IS56" s="708"/>
      <c r="IT56" s="708"/>
      <c r="IU56" s="708"/>
      <c r="IV56" s="708"/>
      <c r="IW56" s="708"/>
      <c r="IX56" s="708"/>
      <c r="IY56" s="708"/>
      <c r="IZ56" s="708"/>
      <c r="JA56" s="708"/>
      <c r="JB56" s="2525"/>
      <c r="JC56" s="2525"/>
      <c r="JD56" s="2525"/>
      <c r="JE56" s="2525"/>
      <c r="JF56" s="2525"/>
      <c r="JG56" s="2525"/>
      <c r="JH56" s="2525"/>
      <c r="JI56" s="2525"/>
      <c r="JJ56" s="2525"/>
      <c r="JK56" s="2525"/>
      <c r="JL56" s="2525"/>
      <c r="JM56" s="2525"/>
      <c r="JN56" s="2525"/>
      <c r="JO56" s="2525"/>
      <c r="JP56" s="2525"/>
      <c r="JQ56" s="2525"/>
      <c r="JS56" s="2525"/>
      <c r="JT56" s="2525"/>
      <c r="JU56" s="2525"/>
      <c r="JV56" s="2525"/>
      <c r="JW56" s="2525"/>
      <c r="JX56" s="2525"/>
      <c r="JY56" s="2525"/>
      <c r="JZ56" s="2525"/>
      <c r="KA56" s="708"/>
      <c r="KB56" s="708"/>
      <c r="KC56" s="708"/>
      <c r="KD56" s="708"/>
      <c r="KE56" s="708"/>
      <c r="KF56" s="708"/>
      <c r="KG56" s="708"/>
      <c r="KH56" s="708"/>
      <c r="KI56" s="708"/>
      <c r="KJ56" s="421"/>
      <c r="KK56" s="421"/>
      <c r="KL56" s="708"/>
      <c r="KM56" s="708"/>
      <c r="KN56" s="2525"/>
      <c r="KO56" s="2525"/>
      <c r="KP56" s="2525"/>
      <c r="KQ56" s="2525"/>
      <c r="KR56" s="2525"/>
      <c r="KS56" s="2525"/>
      <c r="KT56" s="2525"/>
      <c r="KU56" s="2525"/>
      <c r="KV56" s="2525"/>
      <c r="KW56" s="2525"/>
      <c r="KX56" s="2525"/>
      <c r="KY56" s="2525"/>
      <c r="KZ56" s="2525"/>
      <c r="LA56" s="2525"/>
      <c r="LB56" s="2525"/>
      <c r="LC56" s="2525"/>
      <c r="LD56" s="2525"/>
      <c r="LE56" s="2525"/>
      <c r="LF56" s="2525"/>
      <c r="LG56" s="2525"/>
      <c r="LH56" s="2525"/>
      <c r="LI56" s="2525"/>
      <c r="LJ56" s="2525"/>
      <c r="LK56" s="2525"/>
      <c r="LL56" s="2525"/>
      <c r="LM56" s="2525"/>
      <c r="LN56" s="2525"/>
      <c r="LO56" s="2525"/>
      <c r="LP56" s="2525"/>
      <c r="LQ56" s="2525"/>
      <c r="LR56" s="2525"/>
    </row>
    <row r="57" spans="1:330">
      <c r="A57" s="2525"/>
      <c r="B57" s="2525"/>
      <c r="C57" s="2525"/>
      <c r="D57" s="2525"/>
      <c r="E57" s="2525"/>
      <c r="F57" s="2525"/>
      <c r="G57" s="2525"/>
      <c r="H57" s="2525"/>
      <c r="I57" s="2525"/>
      <c r="J57" s="2525"/>
      <c r="K57" s="2525"/>
      <c r="L57" s="2525"/>
      <c r="M57" s="2525"/>
      <c r="N57" s="2525"/>
      <c r="O57" s="2525"/>
      <c r="P57" s="2525"/>
      <c r="Q57" s="2525"/>
      <c r="R57" s="2525"/>
      <c r="S57" s="2525"/>
      <c r="T57" s="2525"/>
      <c r="U57" s="2525"/>
      <c r="V57" s="2525"/>
      <c r="W57" s="2525"/>
      <c r="X57" s="2525"/>
      <c r="Y57" s="2525"/>
      <c r="Z57" s="2525"/>
      <c r="AA57" s="2525"/>
      <c r="AB57" s="2525"/>
      <c r="AC57" s="2525"/>
      <c r="AD57" s="2525"/>
      <c r="AE57" s="2525"/>
      <c r="AF57" s="2525"/>
      <c r="AG57" s="2525"/>
      <c r="AH57" s="2525"/>
      <c r="AI57" s="2525"/>
      <c r="AJ57" s="2525"/>
      <c r="AK57" s="2525"/>
      <c r="AL57" s="2525"/>
      <c r="AM57" s="2525"/>
      <c r="AN57" s="2525"/>
      <c r="AO57" s="2525"/>
      <c r="AP57" s="2525"/>
      <c r="AQ57" s="2525"/>
      <c r="AR57" s="2525"/>
      <c r="AS57" s="2525"/>
      <c r="AT57" s="2525"/>
      <c r="AU57" s="2525"/>
      <c r="AV57" s="2525"/>
      <c r="AW57" s="2525"/>
      <c r="AX57" s="2525"/>
      <c r="AY57" s="2525"/>
      <c r="AZ57" s="2525"/>
      <c r="BA57" s="2525"/>
      <c r="BB57" s="2525"/>
      <c r="BC57" s="2525"/>
      <c r="BD57" s="2525"/>
      <c r="BE57" s="2525"/>
      <c r="BF57" s="2525"/>
      <c r="BG57" s="2525"/>
      <c r="BH57" s="2525"/>
      <c r="BI57" s="2525"/>
      <c r="BJ57" s="2525"/>
      <c r="BK57" s="2525"/>
      <c r="BL57" s="2525"/>
      <c r="BM57" s="2525"/>
      <c r="BN57" s="2525"/>
      <c r="BO57" s="2525"/>
      <c r="BP57" s="2525"/>
      <c r="BQ57" s="2525"/>
      <c r="BR57" s="2525"/>
      <c r="BS57" s="2525"/>
      <c r="BT57" s="2525"/>
      <c r="BU57" s="2525"/>
      <c r="BV57" s="2525"/>
      <c r="BW57" s="2525"/>
      <c r="BX57" s="2525"/>
      <c r="BY57" s="2525"/>
      <c r="BZ57" s="2525"/>
      <c r="CA57" s="2525"/>
      <c r="CB57" s="2525"/>
      <c r="CC57" s="2525"/>
      <c r="CD57" s="2525"/>
      <c r="CE57" s="2525"/>
      <c r="CF57" s="2525"/>
      <c r="CG57" s="2525"/>
      <c r="CH57" s="2525"/>
      <c r="CI57" s="2525"/>
      <c r="CJ57" s="2525"/>
      <c r="CK57" s="2525"/>
      <c r="CL57" s="2525"/>
      <c r="CM57" s="2525"/>
      <c r="CN57" s="2525"/>
      <c r="CO57" s="2525"/>
      <c r="CP57" s="2525"/>
      <c r="CQ57" s="2525"/>
      <c r="CR57" s="2525"/>
      <c r="CS57" s="2525"/>
      <c r="CT57" s="2525"/>
      <c r="CU57" s="2525"/>
      <c r="CV57" s="2525"/>
      <c r="CW57" s="2525"/>
      <c r="CX57" s="2525"/>
      <c r="CY57" s="2525"/>
      <c r="CZ57" s="2525"/>
      <c r="DA57" s="2525"/>
      <c r="DB57" s="2525"/>
      <c r="DC57" s="2525"/>
      <c r="DD57" s="2525"/>
      <c r="DE57" s="2525"/>
      <c r="DF57" s="2525"/>
      <c r="DG57" s="2525"/>
      <c r="DH57" s="2525"/>
      <c r="DI57" s="2525"/>
      <c r="DJ57" s="2525"/>
      <c r="DK57" s="2525"/>
      <c r="DL57" s="2525"/>
      <c r="DM57" s="2525"/>
      <c r="DN57" s="2525"/>
      <c r="DO57" s="2525"/>
      <c r="DP57" s="2525"/>
      <c r="DQ57" s="2525"/>
      <c r="DR57" s="2525"/>
      <c r="DS57" s="2525"/>
      <c r="DT57" s="2525"/>
      <c r="DU57" s="2525"/>
      <c r="DV57" s="2525"/>
      <c r="DW57" s="2525"/>
      <c r="DX57" s="2525"/>
      <c r="DY57" s="2525"/>
      <c r="DZ57" s="2525"/>
      <c r="EA57" s="2525"/>
      <c r="EB57" s="2525"/>
      <c r="EC57" s="2525"/>
      <c r="ED57" s="2525"/>
      <c r="EE57" s="2525"/>
      <c r="EF57" s="2525"/>
      <c r="EG57" s="2525"/>
      <c r="EH57" s="2525"/>
      <c r="EI57" s="2525"/>
      <c r="EJ57" s="2525"/>
      <c r="EK57" s="2525"/>
      <c r="EL57" s="2525"/>
      <c r="EM57" s="2525"/>
      <c r="EN57" s="2525"/>
      <c r="EO57" s="2525"/>
      <c r="EP57" s="2525"/>
      <c r="EQ57" s="2525"/>
      <c r="ER57" s="2525"/>
      <c r="ES57" s="2525"/>
      <c r="ET57" s="2525"/>
      <c r="EU57" s="2525"/>
      <c r="EV57" s="2525"/>
      <c r="EW57" s="2525"/>
      <c r="EX57" s="2525"/>
      <c r="EY57" s="2525"/>
      <c r="EZ57" s="2525"/>
      <c r="FA57" s="2525"/>
      <c r="FB57" s="2525"/>
      <c r="FC57" s="2525"/>
      <c r="FD57" s="708"/>
      <c r="FE57" s="708"/>
      <c r="FF57" s="708"/>
      <c r="FG57" s="708"/>
      <c r="FH57" s="708"/>
      <c r="FI57" s="708"/>
      <c r="FJ57" s="708"/>
      <c r="FK57" s="708"/>
      <c r="FL57" s="708"/>
      <c r="FM57" s="708"/>
      <c r="FN57" s="708"/>
      <c r="FO57" s="708"/>
      <c r="FP57" s="708"/>
      <c r="FQ57" s="708"/>
      <c r="FR57" s="708"/>
      <c r="FS57" s="708"/>
      <c r="FT57" s="708"/>
      <c r="FU57" s="708"/>
      <c r="FV57" s="708"/>
      <c r="FW57" s="708"/>
      <c r="FX57" s="708"/>
      <c r="FY57" s="708"/>
      <c r="FZ57" s="708"/>
      <c r="GA57" s="708"/>
      <c r="GB57" s="708"/>
      <c r="GC57" s="708"/>
      <c r="GD57" s="708"/>
      <c r="GE57" s="708"/>
      <c r="GF57" s="708"/>
      <c r="GG57" s="708"/>
      <c r="GH57" s="708"/>
      <c r="GI57" s="708"/>
      <c r="GJ57" s="708"/>
      <c r="GK57" s="708"/>
      <c r="GL57" s="708"/>
      <c r="GM57" s="708"/>
      <c r="GN57" s="708"/>
      <c r="GO57" s="708"/>
      <c r="GP57" s="708"/>
      <c r="GQ57" s="708"/>
      <c r="GR57" s="708"/>
      <c r="GS57" s="708"/>
      <c r="GT57" s="708"/>
      <c r="GU57" s="708"/>
      <c r="GV57" s="708"/>
      <c r="GW57" s="708"/>
      <c r="GX57" s="708"/>
      <c r="GY57" s="708"/>
      <c r="GZ57" s="708"/>
      <c r="HA57" s="708"/>
      <c r="HB57" s="708"/>
      <c r="HC57" s="708"/>
      <c r="HD57" s="708"/>
      <c r="HE57" s="708"/>
      <c r="HF57" s="708"/>
      <c r="HG57" s="708"/>
      <c r="HH57" s="708"/>
      <c r="HI57" s="708"/>
      <c r="HJ57" s="708"/>
      <c r="HK57" s="708"/>
      <c r="HL57" s="708"/>
      <c r="HM57" s="708"/>
      <c r="HN57" s="708"/>
      <c r="HO57" s="708"/>
      <c r="HP57" s="708"/>
      <c r="HQ57" s="708"/>
      <c r="HR57" s="708"/>
      <c r="HS57" s="708"/>
      <c r="HT57" s="708"/>
      <c r="HU57" s="708"/>
      <c r="HV57" s="708"/>
      <c r="HW57" s="708"/>
      <c r="HX57" s="708"/>
      <c r="HY57" s="708"/>
      <c r="HZ57" s="708"/>
      <c r="IA57" s="708"/>
      <c r="IB57" s="708"/>
      <c r="IC57" s="708"/>
      <c r="ID57" s="708"/>
      <c r="IE57" s="708"/>
      <c r="IF57" s="708"/>
      <c r="IG57" s="708"/>
      <c r="IH57" s="708"/>
      <c r="II57" s="708"/>
      <c r="IJ57" s="708"/>
      <c r="IK57" s="708"/>
      <c r="IL57" s="708"/>
      <c r="IM57" s="708"/>
      <c r="IN57" s="708"/>
      <c r="IO57" s="708"/>
      <c r="IP57" s="708"/>
      <c r="IQ57" s="708"/>
      <c r="IR57" s="708"/>
      <c r="IS57" s="708"/>
      <c r="IT57" s="708"/>
      <c r="IU57" s="708"/>
      <c r="IV57" s="708"/>
      <c r="IW57" s="708"/>
      <c r="IX57" s="708"/>
      <c r="IY57" s="708"/>
      <c r="IZ57" s="708"/>
      <c r="JA57" s="708"/>
      <c r="JB57" s="2525"/>
      <c r="JC57" s="2525"/>
      <c r="JD57" s="2525"/>
      <c r="JE57" s="2525"/>
      <c r="JF57" s="2525"/>
      <c r="JG57" s="2525"/>
      <c r="JH57" s="2525"/>
      <c r="JI57" s="2525"/>
      <c r="JJ57" s="2525"/>
      <c r="JK57" s="2525"/>
      <c r="JL57" s="2525"/>
      <c r="JM57" s="2525"/>
      <c r="JN57" s="2525"/>
      <c r="JO57" s="2525"/>
      <c r="JP57" s="2525"/>
      <c r="JQ57" s="2525"/>
      <c r="JS57" s="2525"/>
      <c r="JT57" s="2525"/>
      <c r="JU57" s="2525"/>
      <c r="JV57" s="2525"/>
      <c r="JW57" s="2525"/>
      <c r="JX57" s="2525"/>
      <c r="JY57" s="2525"/>
      <c r="JZ57" s="2525"/>
      <c r="KA57" s="708"/>
      <c r="KB57" s="708"/>
      <c r="KC57" s="708"/>
      <c r="KD57" s="708"/>
      <c r="KE57" s="708"/>
      <c r="KF57" s="708"/>
      <c r="KG57" s="708"/>
      <c r="KH57" s="708"/>
      <c r="KI57" s="708"/>
      <c r="KJ57" s="421"/>
      <c r="KK57" s="421"/>
      <c r="KL57" s="708"/>
      <c r="KM57" s="708"/>
      <c r="KN57" s="2525"/>
      <c r="KO57" s="2525"/>
      <c r="KP57" s="2525"/>
      <c r="KQ57" s="2525"/>
      <c r="KR57" s="2525"/>
      <c r="KS57" s="2525"/>
      <c r="KT57" s="2525"/>
      <c r="KU57" s="2525"/>
      <c r="KV57" s="2525"/>
      <c r="KW57" s="2525"/>
      <c r="KX57" s="2525"/>
      <c r="KY57" s="2525"/>
      <c r="KZ57" s="2525"/>
      <c r="LA57" s="2525"/>
      <c r="LB57" s="2525"/>
      <c r="LC57" s="2525"/>
      <c r="LD57" s="2525"/>
      <c r="LE57" s="2525"/>
      <c r="LF57" s="2525"/>
      <c r="LG57" s="2525"/>
      <c r="LH57" s="2525"/>
      <c r="LI57" s="2525"/>
      <c r="LJ57" s="2525"/>
      <c r="LK57" s="2525"/>
      <c r="LL57" s="2525"/>
      <c r="LM57" s="2525"/>
      <c r="LN57" s="2525"/>
      <c r="LO57" s="2525"/>
      <c r="LP57" s="2525"/>
      <c r="LQ57" s="2525"/>
      <c r="LR57" s="2525"/>
    </row>
    <row r="58" spans="1:330">
      <c r="A58" s="2525"/>
      <c r="B58" s="2525"/>
      <c r="C58" s="2525"/>
      <c r="D58" s="2525"/>
      <c r="E58" s="2525"/>
      <c r="F58" s="2525"/>
      <c r="G58" s="2525"/>
      <c r="H58" s="2525"/>
      <c r="I58" s="2525"/>
      <c r="J58" s="2525"/>
      <c r="K58" s="2525"/>
      <c r="L58" s="2525"/>
      <c r="M58" s="2525"/>
      <c r="N58" s="2525"/>
      <c r="O58" s="2525"/>
      <c r="P58" s="2525"/>
      <c r="Q58" s="2525"/>
      <c r="R58" s="2525"/>
      <c r="S58" s="2525"/>
      <c r="T58" s="2525"/>
      <c r="U58" s="2525"/>
      <c r="V58" s="2525"/>
      <c r="W58" s="2525"/>
      <c r="X58" s="2525"/>
      <c r="Y58" s="2525"/>
      <c r="Z58" s="2525"/>
      <c r="AA58" s="2525"/>
      <c r="AB58" s="2525"/>
      <c r="AC58" s="2525"/>
      <c r="AD58" s="2525"/>
      <c r="AE58" s="2525"/>
      <c r="AF58" s="2525"/>
      <c r="AG58" s="2525"/>
      <c r="AH58" s="2525"/>
      <c r="AI58" s="2525"/>
      <c r="AJ58" s="2525"/>
      <c r="AK58" s="2525"/>
      <c r="AL58" s="2525"/>
      <c r="AM58" s="2525"/>
      <c r="AN58" s="2525"/>
      <c r="AO58" s="2525"/>
      <c r="AP58" s="2525"/>
      <c r="AQ58" s="2525"/>
      <c r="AR58" s="2525"/>
      <c r="AS58" s="2525"/>
      <c r="AT58" s="2525"/>
      <c r="AU58" s="2525"/>
      <c r="AV58" s="2525"/>
      <c r="AW58" s="2525"/>
      <c r="AX58" s="2525"/>
      <c r="AY58" s="2525"/>
      <c r="AZ58" s="2525"/>
      <c r="BA58" s="2525"/>
      <c r="BB58" s="2525"/>
      <c r="BC58" s="2525"/>
      <c r="BD58" s="2525"/>
      <c r="BE58" s="2525"/>
      <c r="BF58" s="2525"/>
      <c r="BG58" s="2525"/>
      <c r="BH58" s="2525"/>
      <c r="BI58" s="2525"/>
      <c r="BJ58" s="2525"/>
      <c r="BK58" s="2525"/>
      <c r="BL58" s="2525"/>
      <c r="BM58" s="2525"/>
      <c r="BN58" s="2525"/>
      <c r="BO58" s="2525"/>
      <c r="BP58" s="2525"/>
      <c r="BQ58" s="2525"/>
      <c r="BR58" s="2525"/>
      <c r="BS58" s="2525"/>
      <c r="BT58" s="2525"/>
      <c r="BU58" s="2525"/>
      <c r="BV58" s="2525"/>
      <c r="BW58" s="2525"/>
      <c r="BX58" s="2525"/>
      <c r="BY58" s="2525"/>
      <c r="BZ58" s="2525"/>
      <c r="CA58" s="2525"/>
      <c r="CB58" s="2525"/>
      <c r="CC58" s="2525"/>
      <c r="CD58" s="2525"/>
      <c r="CE58" s="2525"/>
      <c r="CF58" s="2525"/>
      <c r="CG58" s="2525"/>
      <c r="CH58" s="2525"/>
      <c r="CI58" s="2525"/>
      <c r="CJ58" s="2525"/>
      <c r="CK58" s="2525"/>
      <c r="CL58" s="2525"/>
      <c r="CM58" s="2525"/>
      <c r="CN58" s="2525"/>
      <c r="CO58" s="2525"/>
      <c r="CP58" s="2525"/>
      <c r="CQ58" s="2525"/>
      <c r="CR58" s="2525"/>
      <c r="CS58" s="2525"/>
      <c r="CT58" s="2525"/>
      <c r="CU58" s="2525"/>
      <c r="CV58" s="2525"/>
      <c r="CW58" s="2525"/>
      <c r="CX58" s="2525"/>
      <c r="CY58" s="2525"/>
      <c r="CZ58" s="2525"/>
      <c r="DA58" s="2525"/>
      <c r="DB58" s="2525"/>
      <c r="DC58" s="2525"/>
      <c r="DD58" s="2525"/>
      <c r="DE58" s="2525"/>
      <c r="DF58" s="2525"/>
      <c r="DG58" s="2525"/>
      <c r="DH58" s="2525"/>
      <c r="DI58" s="2525"/>
      <c r="DJ58" s="2525"/>
      <c r="DK58" s="2525"/>
      <c r="DL58" s="2525"/>
      <c r="DM58" s="2525"/>
      <c r="DN58" s="2525"/>
      <c r="DO58" s="2525"/>
      <c r="DP58" s="2525"/>
      <c r="DQ58" s="2525"/>
      <c r="DR58" s="2525"/>
      <c r="DS58" s="2525"/>
      <c r="DT58" s="2525"/>
      <c r="DU58" s="2525"/>
      <c r="DV58" s="2525"/>
      <c r="DW58" s="2525"/>
      <c r="DX58" s="2525"/>
      <c r="DY58" s="2525"/>
      <c r="DZ58" s="2525"/>
      <c r="EA58" s="2525"/>
      <c r="EB58" s="2525"/>
      <c r="EC58" s="2525"/>
      <c r="ED58" s="2525"/>
      <c r="EE58" s="2525"/>
      <c r="EF58" s="2525"/>
      <c r="EG58" s="2525"/>
      <c r="EH58" s="2525"/>
      <c r="EI58" s="2525"/>
      <c r="EJ58" s="2525"/>
      <c r="EK58" s="2525"/>
      <c r="EL58" s="2525"/>
      <c r="EM58" s="2525"/>
      <c r="EN58" s="2525"/>
      <c r="EO58" s="2525"/>
      <c r="EP58" s="2525"/>
      <c r="EQ58" s="2525"/>
      <c r="ER58" s="2525"/>
      <c r="ES58" s="2525"/>
      <c r="ET58" s="2525"/>
      <c r="EU58" s="2525"/>
      <c r="EV58" s="2525"/>
      <c r="EW58" s="2525"/>
      <c r="EX58" s="2525"/>
      <c r="EY58" s="2525"/>
      <c r="EZ58" s="2525"/>
      <c r="FA58" s="2525"/>
      <c r="FB58" s="2525"/>
      <c r="FC58" s="2525"/>
      <c r="FD58" s="708"/>
      <c r="FE58" s="708"/>
      <c r="FF58" s="708"/>
      <c r="FG58" s="708"/>
      <c r="FH58" s="708"/>
      <c r="FI58" s="708"/>
      <c r="FJ58" s="708"/>
      <c r="FK58" s="708"/>
      <c r="FL58" s="708"/>
      <c r="FM58" s="708"/>
      <c r="FN58" s="708"/>
      <c r="FO58" s="708"/>
      <c r="FP58" s="708"/>
      <c r="FQ58" s="708"/>
      <c r="FR58" s="708"/>
      <c r="FS58" s="708"/>
      <c r="FT58" s="708"/>
      <c r="FU58" s="708"/>
      <c r="FV58" s="708"/>
      <c r="FW58" s="708"/>
      <c r="FX58" s="708"/>
      <c r="FY58" s="708"/>
      <c r="FZ58" s="708"/>
      <c r="GA58" s="708"/>
      <c r="GB58" s="708"/>
      <c r="GC58" s="708"/>
      <c r="GD58" s="708"/>
      <c r="GE58" s="708"/>
      <c r="GF58" s="708"/>
      <c r="GG58" s="708"/>
      <c r="GH58" s="708"/>
      <c r="GI58" s="708"/>
      <c r="GJ58" s="708"/>
      <c r="GK58" s="708"/>
      <c r="GL58" s="708"/>
      <c r="GM58" s="708"/>
      <c r="GN58" s="708"/>
      <c r="GO58" s="708"/>
      <c r="GP58" s="708"/>
      <c r="GQ58" s="708"/>
      <c r="GR58" s="708"/>
      <c r="GS58" s="708"/>
      <c r="GT58" s="708"/>
      <c r="GU58" s="708"/>
      <c r="GV58" s="708"/>
      <c r="GW58" s="708"/>
      <c r="GX58" s="708"/>
      <c r="GY58" s="708"/>
      <c r="GZ58" s="708"/>
      <c r="HA58" s="708"/>
      <c r="HB58" s="708"/>
      <c r="HC58" s="708"/>
      <c r="HD58" s="708"/>
      <c r="HE58" s="708"/>
      <c r="HF58" s="708"/>
      <c r="HG58" s="708"/>
      <c r="HH58" s="708"/>
      <c r="HI58" s="708"/>
      <c r="HJ58" s="708"/>
      <c r="HK58" s="708"/>
      <c r="HL58" s="708"/>
      <c r="HM58" s="708"/>
      <c r="HN58" s="708"/>
      <c r="HO58" s="708"/>
      <c r="HP58" s="708"/>
      <c r="HQ58" s="708"/>
      <c r="HR58" s="708"/>
      <c r="HS58" s="708"/>
      <c r="HT58" s="708"/>
      <c r="HU58" s="708"/>
      <c r="HV58" s="708"/>
      <c r="HW58" s="708"/>
      <c r="HX58" s="708"/>
      <c r="HY58" s="708"/>
      <c r="HZ58" s="708"/>
      <c r="IA58" s="708"/>
      <c r="IB58" s="708"/>
      <c r="IC58" s="708"/>
      <c r="ID58" s="708"/>
      <c r="IE58" s="708"/>
      <c r="IF58" s="708"/>
      <c r="IG58" s="708"/>
      <c r="IH58" s="708"/>
      <c r="II58" s="708"/>
      <c r="IJ58" s="708"/>
      <c r="IK58" s="708"/>
      <c r="IL58" s="708"/>
      <c r="IM58" s="708"/>
      <c r="IN58" s="708"/>
      <c r="IO58" s="708"/>
      <c r="IP58" s="708"/>
      <c r="IQ58" s="708"/>
      <c r="IR58" s="708"/>
      <c r="IS58" s="708"/>
      <c r="IT58" s="708"/>
      <c r="IU58" s="708"/>
      <c r="IV58" s="708"/>
      <c r="IW58" s="708"/>
      <c r="IX58" s="708"/>
      <c r="IY58" s="708"/>
      <c r="IZ58" s="708"/>
      <c r="JA58" s="708"/>
      <c r="JB58" s="2525"/>
      <c r="JC58" s="2525"/>
      <c r="JD58" s="2525"/>
      <c r="JE58" s="2525"/>
      <c r="JF58" s="2525"/>
      <c r="JG58" s="2525"/>
      <c r="JH58" s="2525"/>
      <c r="JI58" s="2525"/>
      <c r="JJ58" s="2525"/>
      <c r="JK58" s="2525"/>
      <c r="JL58" s="2525"/>
      <c r="JM58" s="2525"/>
      <c r="JN58" s="2525"/>
      <c r="JO58" s="2525"/>
      <c r="JP58" s="2525"/>
      <c r="JQ58" s="2525"/>
      <c r="JS58" s="2525"/>
      <c r="JT58" s="2525"/>
      <c r="JU58" s="2525"/>
      <c r="JV58" s="2525"/>
      <c r="JW58" s="2525"/>
      <c r="JX58" s="2525"/>
      <c r="JY58" s="2525"/>
      <c r="JZ58" s="2525"/>
      <c r="KA58" s="708"/>
      <c r="KB58" s="708"/>
      <c r="KC58" s="708"/>
      <c r="KD58" s="708"/>
      <c r="KE58" s="708"/>
      <c r="KF58" s="708"/>
      <c r="KG58" s="708"/>
      <c r="KH58" s="708"/>
      <c r="KI58" s="708"/>
      <c r="KJ58" s="421"/>
      <c r="KK58" s="421"/>
      <c r="KL58" s="708"/>
      <c r="KM58" s="708"/>
      <c r="KN58" s="2525"/>
      <c r="KO58" s="2525"/>
      <c r="KP58" s="2525"/>
      <c r="KQ58" s="2525"/>
      <c r="KR58" s="2525"/>
      <c r="KS58" s="2525"/>
      <c r="KT58" s="2525"/>
      <c r="KU58" s="2525"/>
      <c r="KV58" s="2525"/>
      <c r="KW58" s="2525"/>
      <c r="KX58" s="2525"/>
      <c r="KY58" s="2525"/>
      <c r="KZ58" s="2525"/>
      <c r="LA58" s="2525"/>
      <c r="LB58" s="2525"/>
      <c r="LC58" s="2525"/>
      <c r="LD58" s="2525"/>
      <c r="LE58" s="2525"/>
      <c r="LF58" s="2525"/>
      <c r="LG58" s="2525"/>
      <c r="LH58" s="2525"/>
      <c r="LI58" s="2525"/>
      <c r="LJ58" s="2525"/>
      <c r="LK58" s="2525"/>
      <c r="LL58" s="2525"/>
      <c r="LM58" s="2525"/>
      <c r="LN58" s="2525"/>
      <c r="LO58" s="2525"/>
      <c r="LP58" s="2525"/>
      <c r="LQ58" s="2525"/>
      <c r="LR58" s="2525"/>
    </row>
    <row r="59" spans="1:330">
      <c r="A59" s="2525"/>
      <c r="B59" s="2525"/>
      <c r="C59" s="2525"/>
      <c r="D59" s="2525"/>
      <c r="E59" s="2525"/>
      <c r="F59" s="2525"/>
      <c r="G59" s="2525"/>
      <c r="H59" s="2525"/>
      <c r="I59" s="2525"/>
      <c r="J59" s="2525"/>
      <c r="K59" s="2525"/>
      <c r="L59" s="2525"/>
      <c r="M59" s="2525"/>
      <c r="N59" s="2525"/>
      <c r="O59" s="2525"/>
      <c r="P59" s="2525"/>
      <c r="Q59" s="2525"/>
      <c r="R59" s="2525"/>
      <c r="S59" s="2525"/>
      <c r="T59" s="2525"/>
      <c r="U59" s="2525"/>
      <c r="V59" s="2525"/>
      <c r="W59" s="2525"/>
      <c r="X59" s="2525"/>
      <c r="Y59" s="2525"/>
      <c r="Z59" s="2525"/>
      <c r="AA59" s="2525"/>
      <c r="AB59" s="2525"/>
      <c r="AC59" s="2525"/>
      <c r="AD59" s="2525"/>
      <c r="AE59" s="2525"/>
      <c r="AF59" s="2525"/>
      <c r="AG59" s="2525"/>
      <c r="AH59" s="2525"/>
      <c r="AI59" s="2525"/>
      <c r="AJ59" s="2525"/>
      <c r="AK59" s="2525"/>
      <c r="AL59" s="2525"/>
      <c r="AM59" s="2525"/>
      <c r="AN59" s="2525"/>
      <c r="AO59" s="2525"/>
      <c r="AP59" s="2525"/>
      <c r="AQ59" s="2525"/>
      <c r="AR59" s="2525"/>
      <c r="AS59" s="2525"/>
      <c r="AT59" s="2525"/>
      <c r="AU59" s="2525"/>
      <c r="AV59" s="2525"/>
      <c r="AW59" s="2525"/>
      <c r="AX59" s="2525"/>
      <c r="AY59" s="2525"/>
      <c r="AZ59" s="2525"/>
      <c r="BA59" s="2525"/>
      <c r="BB59" s="2525"/>
      <c r="BC59" s="2525"/>
      <c r="BD59" s="2525"/>
      <c r="BE59" s="2525"/>
      <c r="BF59" s="2525"/>
      <c r="BG59" s="2525"/>
      <c r="BH59" s="2525"/>
      <c r="BI59" s="2525"/>
      <c r="BJ59" s="2525"/>
      <c r="BK59" s="2525"/>
      <c r="BL59" s="2525"/>
      <c r="BM59" s="2525"/>
      <c r="BN59" s="2525"/>
      <c r="BO59" s="2525"/>
      <c r="BP59" s="2525"/>
      <c r="BQ59" s="2525"/>
      <c r="BR59" s="2525"/>
      <c r="BS59" s="2525"/>
      <c r="BT59" s="2525"/>
      <c r="BU59" s="2525"/>
      <c r="BV59" s="2525"/>
      <c r="BW59" s="2525"/>
      <c r="BX59" s="2525"/>
      <c r="BY59" s="2525"/>
      <c r="BZ59" s="2525"/>
      <c r="CA59" s="2525"/>
      <c r="CB59" s="2525"/>
      <c r="CC59" s="2525"/>
      <c r="CD59" s="2525"/>
      <c r="CE59" s="2525"/>
      <c r="CF59" s="2525"/>
      <c r="CG59" s="2525"/>
      <c r="CH59" s="2525"/>
      <c r="CI59" s="2525"/>
      <c r="CJ59" s="2525"/>
      <c r="CK59" s="2525"/>
      <c r="CL59" s="2525"/>
      <c r="CM59" s="2525"/>
      <c r="CN59" s="2525"/>
      <c r="CO59" s="2525"/>
      <c r="CP59" s="2525"/>
      <c r="CQ59" s="2525"/>
      <c r="CR59" s="2525"/>
      <c r="CS59" s="2525"/>
      <c r="CT59" s="2525"/>
      <c r="CU59" s="2525"/>
      <c r="CV59" s="2525"/>
      <c r="CW59" s="2525"/>
      <c r="CX59" s="2525"/>
      <c r="CY59" s="2525"/>
      <c r="CZ59" s="2525"/>
      <c r="DA59" s="2525"/>
      <c r="DB59" s="2525"/>
      <c r="DC59" s="2525"/>
      <c r="DD59" s="2525"/>
      <c r="DE59" s="2525"/>
      <c r="DF59" s="2525"/>
      <c r="DG59" s="2525"/>
      <c r="DH59" s="2525"/>
      <c r="DI59" s="2525"/>
      <c r="DJ59" s="2525"/>
      <c r="DK59" s="2525"/>
      <c r="DL59" s="2525"/>
      <c r="DM59" s="2525"/>
      <c r="DN59" s="2525"/>
      <c r="DO59" s="2525"/>
      <c r="DP59" s="2525"/>
      <c r="DQ59" s="2525"/>
      <c r="DR59" s="2525"/>
      <c r="DS59" s="2525"/>
      <c r="DT59" s="2525"/>
      <c r="DU59" s="2525"/>
      <c r="DV59" s="2525"/>
      <c r="DW59" s="2525"/>
      <c r="DX59" s="2525"/>
      <c r="DY59" s="2525"/>
      <c r="DZ59" s="2525"/>
      <c r="EA59" s="2525"/>
      <c r="EB59" s="2525"/>
      <c r="EC59" s="2525"/>
      <c r="ED59" s="2525"/>
      <c r="EE59" s="2525"/>
      <c r="EF59" s="2525"/>
      <c r="EG59" s="2525"/>
      <c r="EH59" s="2525"/>
      <c r="EI59" s="2525"/>
      <c r="EJ59" s="2525"/>
      <c r="EK59" s="2525"/>
      <c r="EL59" s="2525"/>
      <c r="EM59" s="2525"/>
      <c r="EN59" s="2525"/>
      <c r="EO59" s="2525"/>
      <c r="EP59" s="2525"/>
      <c r="EQ59" s="2525"/>
      <c r="ER59" s="2525"/>
      <c r="ES59" s="2525"/>
      <c r="ET59" s="2525"/>
      <c r="EU59" s="2525"/>
      <c r="EV59" s="2525"/>
      <c r="EW59" s="2525"/>
      <c r="EX59" s="2525"/>
      <c r="EY59" s="2525"/>
      <c r="EZ59" s="2525"/>
      <c r="FA59" s="2525"/>
      <c r="FB59" s="2525"/>
      <c r="FC59" s="2525"/>
      <c r="FD59" s="708"/>
      <c r="FE59" s="708"/>
      <c r="FF59" s="708"/>
      <c r="FG59" s="708"/>
      <c r="FH59" s="708"/>
      <c r="FI59" s="708"/>
      <c r="FJ59" s="708"/>
      <c r="FK59" s="708"/>
      <c r="FL59" s="708"/>
      <c r="FM59" s="708"/>
      <c r="FN59" s="708"/>
      <c r="FO59" s="708"/>
      <c r="FP59" s="708"/>
      <c r="FQ59" s="708"/>
      <c r="FR59" s="708"/>
      <c r="FS59" s="708"/>
      <c r="FT59" s="708"/>
      <c r="FU59" s="708"/>
      <c r="FV59" s="708"/>
      <c r="FW59" s="708"/>
      <c r="FX59" s="708"/>
      <c r="FY59" s="708"/>
      <c r="FZ59" s="708"/>
      <c r="GA59" s="708"/>
      <c r="GB59" s="708"/>
      <c r="GC59" s="708"/>
      <c r="GD59" s="708"/>
      <c r="GE59" s="708"/>
      <c r="GF59" s="708"/>
      <c r="GG59" s="708"/>
      <c r="GH59" s="708"/>
      <c r="GI59" s="708"/>
      <c r="GJ59" s="708"/>
      <c r="GK59" s="708"/>
      <c r="GL59" s="708"/>
      <c r="GM59" s="708"/>
      <c r="GN59" s="708"/>
      <c r="GO59" s="708"/>
      <c r="GP59" s="708"/>
      <c r="GQ59" s="708"/>
      <c r="GR59" s="708"/>
      <c r="GS59" s="708"/>
      <c r="GT59" s="708"/>
      <c r="GU59" s="708"/>
      <c r="GV59" s="708"/>
      <c r="GW59" s="708"/>
      <c r="GX59" s="708"/>
      <c r="GY59" s="708"/>
      <c r="GZ59" s="708"/>
      <c r="HA59" s="708"/>
      <c r="HB59" s="708"/>
      <c r="HC59" s="708"/>
      <c r="HD59" s="708"/>
      <c r="HE59" s="708"/>
      <c r="HF59" s="708"/>
      <c r="HG59" s="708"/>
      <c r="HH59" s="708"/>
      <c r="HI59" s="708"/>
      <c r="HJ59" s="708"/>
      <c r="HK59" s="708"/>
      <c r="HL59" s="708"/>
      <c r="HM59" s="708"/>
      <c r="HN59" s="708"/>
      <c r="HO59" s="708"/>
      <c r="HP59" s="708"/>
      <c r="HQ59" s="708"/>
      <c r="HR59" s="708"/>
      <c r="HS59" s="708"/>
      <c r="HT59" s="708"/>
      <c r="HU59" s="708"/>
      <c r="HV59" s="708"/>
      <c r="HW59" s="708"/>
      <c r="HX59" s="708"/>
      <c r="HY59" s="708"/>
      <c r="HZ59" s="708"/>
      <c r="IA59" s="708"/>
      <c r="IB59" s="708"/>
      <c r="IC59" s="708"/>
      <c r="ID59" s="708"/>
      <c r="IE59" s="708"/>
      <c r="IF59" s="708"/>
      <c r="IG59" s="708"/>
      <c r="IH59" s="708"/>
      <c r="II59" s="708"/>
      <c r="IJ59" s="708"/>
      <c r="IK59" s="708"/>
      <c r="IL59" s="708"/>
      <c r="IM59" s="708"/>
      <c r="IN59" s="708"/>
      <c r="IO59" s="708"/>
      <c r="IP59" s="708"/>
      <c r="IQ59" s="708"/>
      <c r="IR59" s="708"/>
      <c r="IS59" s="708"/>
      <c r="IT59" s="708"/>
      <c r="IU59" s="708"/>
      <c r="IV59" s="708"/>
      <c r="IW59" s="708"/>
      <c r="IX59" s="708"/>
      <c r="IY59" s="708"/>
      <c r="IZ59" s="708"/>
      <c r="JA59" s="708"/>
      <c r="JB59" s="2525"/>
      <c r="JC59" s="2525"/>
      <c r="JD59" s="2525"/>
      <c r="JE59" s="2525"/>
      <c r="JF59" s="2525"/>
      <c r="JG59" s="2525"/>
      <c r="JH59" s="2525"/>
      <c r="JI59" s="2525"/>
      <c r="JJ59" s="2525"/>
      <c r="JK59" s="2525"/>
      <c r="JL59" s="2525"/>
      <c r="JM59" s="2525"/>
      <c r="JN59" s="2525"/>
      <c r="JO59" s="2525"/>
      <c r="JP59" s="2525"/>
      <c r="JQ59" s="2525"/>
      <c r="JS59" s="2525"/>
      <c r="JT59" s="2525"/>
      <c r="JU59" s="2525"/>
      <c r="JV59" s="2525"/>
      <c r="JW59" s="2525"/>
      <c r="JX59" s="2525"/>
      <c r="JY59" s="2525"/>
      <c r="JZ59" s="2525"/>
      <c r="KA59" s="708"/>
      <c r="KB59" s="708"/>
      <c r="KC59" s="708"/>
      <c r="KD59" s="708"/>
      <c r="KE59" s="708"/>
      <c r="KF59" s="708"/>
      <c r="KG59" s="708"/>
      <c r="KH59" s="708"/>
      <c r="KI59" s="708"/>
      <c r="KJ59" s="421"/>
      <c r="KK59" s="421"/>
      <c r="KL59" s="708"/>
      <c r="KM59" s="708"/>
      <c r="KN59" s="2525"/>
      <c r="KO59" s="2525"/>
      <c r="KP59" s="2525"/>
      <c r="KQ59" s="2525"/>
      <c r="KR59" s="2525"/>
      <c r="KS59" s="2525"/>
      <c r="KT59" s="2525"/>
      <c r="KU59" s="2525"/>
      <c r="KV59" s="2525"/>
      <c r="KW59" s="2525"/>
      <c r="KX59" s="2525"/>
      <c r="KY59" s="2525"/>
      <c r="KZ59" s="2525"/>
      <c r="LA59" s="2525"/>
      <c r="LB59" s="2525"/>
      <c r="LC59" s="2525"/>
      <c r="LD59" s="2525"/>
      <c r="LE59" s="2525"/>
      <c r="LF59" s="2525"/>
      <c r="LG59" s="2525"/>
      <c r="LH59" s="2525"/>
      <c r="LI59" s="2525"/>
      <c r="LJ59" s="2525"/>
      <c r="LK59" s="2525"/>
      <c r="LL59" s="2525"/>
      <c r="LM59" s="2525"/>
      <c r="LN59" s="2525"/>
      <c r="LO59" s="2525"/>
      <c r="LP59" s="2525"/>
      <c r="LQ59" s="2525"/>
      <c r="LR59" s="2525"/>
    </row>
    <row r="60" spans="1:330">
      <c r="A60" s="2525"/>
      <c r="B60" s="2525"/>
      <c r="C60" s="2525"/>
      <c r="D60" s="2525"/>
      <c r="E60" s="2525"/>
      <c r="F60" s="2525"/>
      <c r="G60" s="2525"/>
      <c r="H60" s="2525"/>
      <c r="I60" s="2525"/>
      <c r="J60" s="2525"/>
      <c r="K60" s="2525"/>
      <c r="L60" s="2525"/>
      <c r="M60" s="2525"/>
      <c r="N60" s="2525"/>
      <c r="O60" s="2525"/>
      <c r="P60" s="2525"/>
      <c r="Q60" s="2525"/>
      <c r="R60" s="2525"/>
      <c r="S60" s="2525"/>
      <c r="T60" s="2525"/>
      <c r="U60" s="2525"/>
      <c r="V60" s="2525"/>
      <c r="W60" s="2525"/>
      <c r="X60" s="2525"/>
      <c r="Y60" s="2525"/>
      <c r="Z60" s="2525"/>
      <c r="AA60" s="2525"/>
      <c r="AB60" s="2525"/>
      <c r="AC60" s="2525"/>
      <c r="AD60" s="2525"/>
      <c r="AE60" s="2525"/>
      <c r="AF60" s="2525"/>
      <c r="AG60" s="2525"/>
      <c r="AH60" s="2525"/>
      <c r="AI60" s="2525"/>
      <c r="AJ60" s="2525"/>
      <c r="AK60" s="2525"/>
      <c r="AL60" s="2525"/>
      <c r="AM60" s="2525"/>
      <c r="AN60" s="2525"/>
      <c r="AO60" s="2525"/>
      <c r="AP60" s="2525"/>
      <c r="AQ60" s="2525"/>
      <c r="AR60" s="2525"/>
      <c r="AS60" s="2525"/>
      <c r="AT60" s="2525"/>
      <c r="AU60" s="2525"/>
      <c r="AV60" s="2525"/>
      <c r="AW60" s="2525"/>
      <c r="AX60" s="2525"/>
      <c r="AY60" s="2525"/>
      <c r="AZ60" s="2525"/>
      <c r="BA60" s="2525"/>
      <c r="BB60" s="2525"/>
      <c r="BC60" s="2525"/>
      <c r="BD60" s="2525"/>
      <c r="BE60" s="2525"/>
      <c r="BF60" s="2525"/>
      <c r="BG60" s="2525"/>
      <c r="BH60" s="2525"/>
      <c r="BI60" s="2525"/>
      <c r="BJ60" s="2525"/>
      <c r="BK60" s="2525"/>
      <c r="BL60" s="2525"/>
      <c r="BM60" s="2525"/>
      <c r="BN60" s="2525"/>
      <c r="BO60" s="2525"/>
      <c r="BP60" s="2525"/>
      <c r="BQ60" s="2525"/>
      <c r="BR60" s="2525"/>
      <c r="BS60" s="2525"/>
      <c r="BT60" s="2525"/>
      <c r="BU60" s="2525"/>
      <c r="BV60" s="2525"/>
      <c r="BW60" s="2525"/>
      <c r="BX60" s="2525"/>
      <c r="BY60" s="2525"/>
      <c r="BZ60" s="2525"/>
      <c r="CA60" s="2525"/>
      <c r="CB60" s="2525"/>
      <c r="CC60" s="2525"/>
      <c r="CD60" s="2525"/>
      <c r="CE60" s="2525"/>
      <c r="CF60" s="2525"/>
      <c r="CG60" s="2525"/>
      <c r="CH60" s="2525"/>
      <c r="CI60" s="2525"/>
      <c r="CJ60" s="2525"/>
      <c r="CK60" s="2525"/>
      <c r="CL60" s="2525"/>
      <c r="CM60" s="2525"/>
      <c r="CN60" s="2525"/>
      <c r="CO60" s="2525"/>
      <c r="CP60" s="2525"/>
      <c r="CQ60" s="2525"/>
      <c r="CR60" s="2525"/>
      <c r="CS60" s="2525"/>
      <c r="CT60" s="2525"/>
      <c r="CU60" s="2525"/>
      <c r="CV60" s="2525"/>
      <c r="CW60" s="2525"/>
      <c r="CX60" s="2525"/>
      <c r="CY60" s="2525"/>
      <c r="CZ60" s="2525"/>
      <c r="DA60" s="2525"/>
      <c r="DB60" s="2525"/>
      <c r="DC60" s="2525"/>
      <c r="DD60" s="2525"/>
      <c r="DE60" s="2525"/>
      <c r="DF60" s="2525"/>
      <c r="DG60" s="2525"/>
      <c r="DH60" s="2525"/>
      <c r="DI60" s="2525"/>
      <c r="DJ60" s="2525"/>
      <c r="DK60" s="2525"/>
      <c r="DL60" s="2525"/>
      <c r="DM60" s="2525"/>
      <c r="DN60" s="2525"/>
      <c r="DO60" s="2525"/>
      <c r="DP60" s="2525"/>
      <c r="DQ60" s="2525"/>
      <c r="DR60" s="2525"/>
      <c r="DS60" s="2525"/>
      <c r="DT60" s="2525"/>
      <c r="DU60" s="2525"/>
      <c r="DV60" s="2525"/>
      <c r="DW60" s="2525"/>
      <c r="DX60" s="2525"/>
      <c r="DY60" s="2525"/>
      <c r="DZ60" s="2525"/>
      <c r="EA60" s="2525"/>
      <c r="EB60" s="2525"/>
      <c r="EC60" s="2525"/>
      <c r="ED60" s="2525"/>
      <c r="EE60" s="2525"/>
      <c r="EF60" s="2525"/>
      <c r="EG60" s="2525"/>
      <c r="EH60" s="2525"/>
      <c r="EI60" s="2525"/>
      <c r="EJ60" s="2525"/>
      <c r="EK60" s="2525"/>
      <c r="EL60" s="2525"/>
      <c r="EM60" s="2525"/>
      <c r="EN60" s="2525"/>
      <c r="EO60" s="2525"/>
      <c r="EP60" s="2525"/>
      <c r="EQ60" s="2525"/>
      <c r="ER60" s="2525"/>
      <c r="ES60" s="2525"/>
      <c r="ET60" s="2525"/>
      <c r="EU60" s="2525"/>
      <c r="EV60" s="2525"/>
      <c r="EW60" s="2525"/>
      <c r="EX60" s="2525"/>
      <c r="EY60" s="2525"/>
      <c r="EZ60" s="2525"/>
      <c r="FA60" s="2525"/>
      <c r="FB60" s="2525"/>
      <c r="FC60" s="2525"/>
      <c r="FD60" s="708"/>
      <c r="FE60" s="708"/>
      <c r="FF60" s="708"/>
      <c r="FG60" s="708"/>
      <c r="FH60" s="708"/>
      <c r="FI60" s="708"/>
      <c r="FJ60" s="708"/>
      <c r="FK60" s="708"/>
      <c r="FL60" s="708"/>
      <c r="FM60" s="708"/>
      <c r="FN60" s="708"/>
      <c r="FO60" s="708"/>
      <c r="FP60" s="708"/>
      <c r="FQ60" s="708"/>
      <c r="FR60" s="708"/>
      <c r="FS60" s="708"/>
      <c r="FT60" s="708"/>
      <c r="FU60" s="708"/>
      <c r="FV60" s="708"/>
      <c r="FW60" s="708"/>
      <c r="FX60" s="708"/>
      <c r="FY60" s="708"/>
      <c r="FZ60" s="708"/>
      <c r="GA60" s="708"/>
      <c r="GB60" s="708"/>
      <c r="GC60" s="708"/>
      <c r="GD60" s="708"/>
      <c r="GE60" s="708"/>
      <c r="GF60" s="708"/>
      <c r="GG60" s="708"/>
      <c r="GH60" s="708"/>
      <c r="GI60" s="708"/>
      <c r="GJ60" s="708"/>
      <c r="GK60" s="708"/>
      <c r="GL60" s="708"/>
      <c r="GM60" s="708"/>
      <c r="GN60" s="708"/>
      <c r="GO60" s="708"/>
      <c r="GP60" s="708"/>
      <c r="GQ60" s="708"/>
      <c r="GR60" s="708"/>
      <c r="GS60" s="708"/>
      <c r="GT60" s="708"/>
      <c r="GU60" s="708"/>
      <c r="GV60" s="708"/>
      <c r="GW60" s="708"/>
      <c r="GX60" s="708"/>
      <c r="GY60" s="708"/>
      <c r="GZ60" s="708"/>
      <c r="HA60" s="708"/>
      <c r="HB60" s="708"/>
      <c r="HC60" s="708"/>
      <c r="HD60" s="708"/>
      <c r="HE60" s="708"/>
      <c r="HF60" s="708"/>
      <c r="HG60" s="708"/>
      <c r="HH60" s="708"/>
      <c r="HI60" s="708"/>
      <c r="HJ60" s="708"/>
      <c r="HK60" s="708"/>
      <c r="HL60" s="708"/>
      <c r="HM60" s="708"/>
      <c r="HN60" s="708"/>
      <c r="HO60" s="708"/>
      <c r="HP60" s="708"/>
      <c r="HQ60" s="708"/>
      <c r="HR60" s="708"/>
      <c r="HS60" s="708"/>
      <c r="HT60" s="708"/>
      <c r="HU60" s="708"/>
      <c r="HV60" s="708"/>
      <c r="HW60" s="708"/>
      <c r="HX60" s="708"/>
      <c r="HY60" s="708"/>
      <c r="HZ60" s="708"/>
      <c r="IA60" s="708"/>
      <c r="IB60" s="708"/>
      <c r="IC60" s="708"/>
      <c r="ID60" s="708"/>
      <c r="IE60" s="708"/>
      <c r="IF60" s="708"/>
      <c r="IG60" s="708"/>
      <c r="IH60" s="708"/>
      <c r="II60" s="708"/>
      <c r="IJ60" s="708"/>
      <c r="IK60" s="708"/>
      <c r="IL60" s="708"/>
      <c r="IM60" s="708"/>
      <c r="IN60" s="708"/>
      <c r="IO60" s="708"/>
      <c r="IP60" s="708"/>
      <c r="IQ60" s="708"/>
      <c r="IR60" s="708"/>
      <c r="IS60" s="708"/>
      <c r="IT60" s="708"/>
      <c r="IU60" s="708"/>
      <c r="IV60" s="708"/>
      <c r="IW60" s="708"/>
      <c r="IX60" s="708"/>
      <c r="IY60" s="708"/>
      <c r="IZ60" s="708"/>
      <c r="JA60" s="708"/>
      <c r="JB60" s="2525"/>
      <c r="JC60" s="2525"/>
      <c r="JD60" s="2525"/>
      <c r="JE60" s="2525"/>
      <c r="JF60" s="2525"/>
      <c r="JG60" s="2525"/>
      <c r="JH60" s="2525"/>
      <c r="JI60" s="2525"/>
      <c r="JJ60" s="2525"/>
      <c r="JK60" s="2525"/>
      <c r="JL60" s="2525"/>
      <c r="JM60" s="2525"/>
      <c r="JN60" s="2525"/>
      <c r="JO60" s="2525"/>
      <c r="JP60" s="2525"/>
      <c r="JQ60" s="2525"/>
      <c r="JS60" s="2525"/>
      <c r="JT60" s="2525"/>
      <c r="JU60" s="2525"/>
      <c r="JV60" s="2525"/>
      <c r="JW60" s="2525"/>
      <c r="JX60" s="2525"/>
      <c r="JY60" s="2525"/>
      <c r="JZ60" s="2525"/>
      <c r="KA60" s="708"/>
      <c r="KB60" s="708"/>
      <c r="KC60" s="708"/>
      <c r="KD60" s="708"/>
      <c r="KE60" s="708"/>
      <c r="KF60" s="708"/>
      <c r="KG60" s="708"/>
      <c r="KH60" s="708"/>
      <c r="KI60" s="708"/>
      <c r="KJ60" s="421"/>
      <c r="KK60" s="421"/>
      <c r="KL60" s="708"/>
      <c r="KM60" s="708"/>
      <c r="KN60" s="2525"/>
      <c r="KO60" s="2525"/>
      <c r="KP60" s="2525"/>
      <c r="KQ60" s="2525"/>
      <c r="KR60" s="2525"/>
      <c r="KS60" s="2525"/>
      <c r="KT60" s="2525"/>
      <c r="KU60" s="2525"/>
      <c r="KV60" s="2525"/>
      <c r="KW60" s="2525"/>
      <c r="KX60" s="2525"/>
      <c r="KY60" s="2525"/>
      <c r="KZ60" s="2525"/>
      <c r="LA60" s="2525"/>
      <c r="LB60" s="2525"/>
      <c r="LC60" s="2525"/>
      <c r="LD60" s="2525"/>
      <c r="LE60" s="2525"/>
      <c r="LF60" s="2525"/>
      <c r="LG60" s="2525"/>
      <c r="LH60" s="2525"/>
      <c r="LI60" s="2525"/>
      <c r="LJ60" s="2525"/>
      <c r="LK60" s="2525"/>
      <c r="LL60" s="2525"/>
      <c r="LM60" s="2525"/>
      <c r="LN60" s="2525"/>
      <c r="LO60" s="2525"/>
      <c r="LP60" s="2525"/>
      <c r="LQ60" s="2525"/>
      <c r="LR60" s="2525"/>
    </row>
    <row r="61" spans="1:330">
      <c r="A61" s="2525"/>
      <c r="B61" s="2525"/>
      <c r="C61" s="2525"/>
      <c r="D61" s="2525"/>
      <c r="E61" s="2525"/>
      <c r="F61" s="2525"/>
      <c r="G61" s="2525"/>
      <c r="H61" s="2525"/>
      <c r="I61" s="2525"/>
      <c r="J61" s="2525"/>
      <c r="K61" s="2525"/>
      <c r="L61" s="2525"/>
      <c r="M61" s="2525"/>
      <c r="N61" s="2525"/>
      <c r="O61" s="2525"/>
      <c r="P61" s="2525"/>
      <c r="Q61" s="2525"/>
      <c r="R61" s="2525"/>
      <c r="S61" s="2525"/>
      <c r="T61" s="2525"/>
      <c r="U61" s="2525"/>
      <c r="V61" s="2525"/>
      <c r="W61" s="2525"/>
      <c r="X61" s="2525"/>
      <c r="Y61" s="2525"/>
      <c r="Z61" s="2525"/>
      <c r="AA61" s="2525"/>
      <c r="AB61" s="2525"/>
      <c r="AC61" s="2525"/>
      <c r="AD61" s="2525"/>
      <c r="AE61" s="2525"/>
      <c r="AF61" s="2525"/>
      <c r="AG61" s="2525"/>
      <c r="AH61" s="2525"/>
      <c r="AI61" s="2525"/>
      <c r="AJ61" s="2525"/>
      <c r="AK61" s="2525"/>
      <c r="AL61" s="2525"/>
      <c r="AM61" s="2525"/>
      <c r="AN61" s="2525"/>
      <c r="AO61" s="2525"/>
      <c r="AP61" s="2525"/>
      <c r="AQ61" s="2525"/>
      <c r="AR61" s="2525"/>
      <c r="AS61" s="2525"/>
      <c r="AT61" s="2525"/>
      <c r="AU61" s="2525"/>
      <c r="AV61" s="2525"/>
      <c r="AW61" s="2525"/>
      <c r="AX61" s="2525"/>
      <c r="AY61" s="2525"/>
      <c r="AZ61" s="2525"/>
      <c r="BA61" s="2525"/>
      <c r="BB61" s="2525"/>
      <c r="BC61" s="2525"/>
      <c r="BD61" s="2525"/>
      <c r="BE61" s="2525"/>
      <c r="BF61" s="2525"/>
      <c r="BG61" s="2525"/>
      <c r="BH61" s="2525"/>
      <c r="BI61" s="2525"/>
      <c r="BJ61" s="2525"/>
      <c r="BK61" s="2525"/>
      <c r="BL61" s="2525"/>
      <c r="BM61" s="2525"/>
      <c r="BN61" s="2525"/>
      <c r="BO61" s="2525"/>
      <c r="BP61" s="2525"/>
      <c r="BQ61" s="2525"/>
      <c r="BR61" s="2525"/>
      <c r="BS61" s="2525"/>
      <c r="BT61" s="2525"/>
      <c r="BU61" s="2525"/>
      <c r="BV61" s="2525"/>
      <c r="BW61" s="2525"/>
      <c r="BX61" s="2525"/>
      <c r="BY61" s="2525"/>
      <c r="BZ61" s="2525"/>
      <c r="CA61" s="2525"/>
      <c r="CB61" s="2525"/>
      <c r="CC61" s="2525"/>
      <c r="CD61" s="2525"/>
      <c r="CE61" s="2525"/>
      <c r="CF61" s="2525"/>
      <c r="CG61" s="2525"/>
      <c r="CH61" s="2525"/>
      <c r="CI61" s="2525"/>
      <c r="CJ61" s="2525"/>
      <c r="CK61" s="2525"/>
      <c r="CL61" s="2525"/>
      <c r="CM61" s="2525"/>
      <c r="CN61" s="2525"/>
      <c r="CO61" s="2525"/>
      <c r="CP61" s="2525"/>
      <c r="CQ61" s="2525"/>
      <c r="CR61" s="2525"/>
      <c r="CS61" s="2525"/>
      <c r="CT61" s="2525"/>
      <c r="CU61" s="2525"/>
      <c r="CV61" s="2525"/>
      <c r="CW61" s="2525"/>
      <c r="CX61" s="2525"/>
      <c r="CY61" s="2525"/>
      <c r="CZ61" s="2525"/>
      <c r="DA61" s="2525"/>
      <c r="DB61" s="2525"/>
      <c r="DC61" s="2525"/>
      <c r="DD61" s="2525"/>
      <c r="DE61" s="2525"/>
      <c r="DF61" s="2525"/>
      <c r="DG61" s="2525"/>
      <c r="DH61" s="2525"/>
      <c r="DI61" s="2525"/>
      <c r="DJ61" s="2525"/>
      <c r="DK61" s="2525"/>
      <c r="DL61" s="2525"/>
      <c r="DM61" s="2525"/>
      <c r="DN61" s="2525"/>
      <c r="DO61" s="2525"/>
      <c r="DP61" s="2525"/>
      <c r="DQ61" s="2525"/>
      <c r="DR61" s="2525"/>
      <c r="DS61" s="2525"/>
      <c r="DT61" s="2525"/>
      <c r="DU61" s="2525"/>
      <c r="DV61" s="2525"/>
      <c r="DW61" s="2525"/>
      <c r="DX61" s="2525"/>
      <c r="DY61" s="2525"/>
      <c r="DZ61" s="2525"/>
      <c r="EA61" s="2525"/>
      <c r="EB61" s="2525"/>
      <c r="EC61" s="2525"/>
      <c r="ED61" s="2525"/>
      <c r="EE61" s="2525"/>
      <c r="EF61" s="2525"/>
      <c r="EG61" s="2525"/>
      <c r="EH61" s="2525"/>
      <c r="EI61" s="2525"/>
      <c r="EJ61" s="2525"/>
      <c r="EK61" s="2525"/>
      <c r="EL61" s="2525"/>
      <c r="EM61" s="2525"/>
      <c r="EN61" s="2525"/>
      <c r="EO61" s="2525"/>
      <c r="EP61" s="2525"/>
      <c r="EQ61" s="2525"/>
      <c r="ER61" s="2525"/>
      <c r="ES61" s="2525"/>
      <c r="ET61" s="2525"/>
      <c r="EU61" s="2525"/>
      <c r="EV61" s="2525"/>
      <c r="EW61" s="2525"/>
      <c r="EX61" s="2525"/>
      <c r="EY61" s="2525"/>
      <c r="EZ61" s="2525"/>
      <c r="FA61" s="2525"/>
      <c r="FB61" s="2525"/>
      <c r="FC61" s="2525"/>
      <c r="FD61" s="708"/>
      <c r="FE61" s="708"/>
      <c r="FF61" s="708"/>
      <c r="FG61" s="708"/>
      <c r="FH61" s="708"/>
      <c r="FI61" s="708"/>
      <c r="FJ61" s="708"/>
      <c r="FK61" s="708"/>
      <c r="FL61" s="708"/>
      <c r="FM61" s="708"/>
      <c r="FN61" s="708"/>
      <c r="FO61" s="708"/>
      <c r="FP61" s="708"/>
      <c r="FQ61" s="708"/>
      <c r="FR61" s="708"/>
      <c r="FS61" s="708"/>
      <c r="FT61" s="708"/>
      <c r="FU61" s="708"/>
      <c r="FV61" s="708"/>
      <c r="FW61" s="708"/>
      <c r="FX61" s="708"/>
      <c r="FY61" s="708"/>
      <c r="FZ61" s="708"/>
      <c r="GA61" s="708"/>
      <c r="GB61" s="708"/>
      <c r="GC61" s="708"/>
      <c r="GD61" s="708"/>
      <c r="GE61" s="708"/>
      <c r="GF61" s="708"/>
      <c r="GG61" s="708"/>
      <c r="GH61" s="708"/>
      <c r="GI61" s="708"/>
      <c r="GJ61" s="708"/>
      <c r="GK61" s="708"/>
      <c r="GL61" s="708"/>
      <c r="GM61" s="708"/>
      <c r="GN61" s="708"/>
      <c r="GO61" s="708"/>
      <c r="GP61" s="708"/>
      <c r="GQ61" s="708"/>
      <c r="GR61" s="708"/>
      <c r="GS61" s="708"/>
      <c r="GT61" s="708"/>
      <c r="GU61" s="708"/>
      <c r="GV61" s="708"/>
      <c r="GW61" s="708"/>
      <c r="GX61" s="708"/>
      <c r="GY61" s="708"/>
      <c r="GZ61" s="708"/>
      <c r="HA61" s="708"/>
      <c r="HB61" s="708"/>
      <c r="HC61" s="708"/>
      <c r="HD61" s="708"/>
      <c r="HE61" s="708"/>
      <c r="HF61" s="708"/>
      <c r="HG61" s="708"/>
      <c r="HH61" s="708"/>
      <c r="HI61" s="708"/>
      <c r="HJ61" s="708"/>
      <c r="HK61" s="708"/>
      <c r="HL61" s="708"/>
      <c r="HM61" s="708"/>
      <c r="HN61" s="708"/>
      <c r="HO61" s="708"/>
      <c r="HP61" s="708"/>
      <c r="HQ61" s="708"/>
      <c r="HR61" s="708"/>
      <c r="HS61" s="708"/>
      <c r="HT61" s="708"/>
      <c r="HU61" s="708"/>
      <c r="HV61" s="708"/>
      <c r="HW61" s="708"/>
      <c r="HX61" s="708"/>
      <c r="HY61" s="708"/>
      <c r="HZ61" s="708"/>
      <c r="IA61" s="708"/>
      <c r="IB61" s="708"/>
      <c r="IC61" s="708"/>
      <c r="ID61" s="708"/>
      <c r="IE61" s="708"/>
      <c r="IF61" s="708"/>
      <c r="IG61" s="708"/>
      <c r="IH61" s="708"/>
      <c r="II61" s="708"/>
      <c r="IJ61" s="708"/>
      <c r="IK61" s="708"/>
      <c r="IL61" s="708"/>
      <c r="IM61" s="708"/>
      <c r="IN61" s="708"/>
      <c r="IO61" s="708"/>
      <c r="IP61" s="708"/>
      <c r="IQ61" s="708"/>
      <c r="IR61" s="708"/>
      <c r="IS61" s="708"/>
      <c r="IT61" s="708"/>
      <c r="IU61" s="708"/>
      <c r="IV61" s="708"/>
      <c r="IW61" s="708"/>
      <c r="IX61" s="708"/>
      <c r="IY61" s="708"/>
      <c r="IZ61" s="708"/>
      <c r="JA61" s="708"/>
      <c r="JB61" s="2525"/>
      <c r="JC61" s="2525"/>
      <c r="JD61" s="2525"/>
      <c r="JE61" s="2525"/>
      <c r="JF61" s="2525"/>
      <c r="JG61" s="2525"/>
      <c r="JH61" s="2525"/>
      <c r="JI61" s="2525"/>
      <c r="JJ61" s="2525"/>
      <c r="JK61" s="2525"/>
      <c r="JL61" s="2525"/>
      <c r="JM61" s="2525"/>
      <c r="JN61" s="2525"/>
      <c r="JO61" s="2525"/>
      <c r="JP61" s="2525"/>
      <c r="JQ61" s="2525"/>
      <c r="JS61" s="2525"/>
      <c r="JT61" s="2525"/>
      <c r="JU61" s="2525"/>
      <c r="JV61" s="2525"/>
      <c r="JW61" s="2525"/>
      <c r="JX61" s="2525"/>
      <c r="JY61" s="2525"/>
      <c r="JZ61" s="2525"/>
      <c r="KA61" s="708"/>
      <c r="KB61" s="708"/>
      <c r="KC61" s="708"/>
      <c r="KD61" s="708"/>
      <c r="KE61" s="708"/>
      <c r="KF61" s="708"/>
      <c r="KG61" s="708"/>
      <c r="KH61" s="708"/>
      <c r="KI61" s="708"/>
      <c r="KJ61" s="421"/>
      <c r="KK61" s="421"/>
      <c r="KL61" s="708"/>
      <c r="KM61" s="708"/>
      <c r="KN61" s="2525"/>
      <c r="KO61" s="2525"/>
      <c r="KP61" s="2525"/>
      <c r="KQ61" s="2525"/>
      <c r="KR61" s="2525"/>
      <c r="KS61" s="2525"/>
      <c r="KT61" s="2525"/>
      <c r="KU61" s="2525"/>
      <c r="KV61" s="2525"/>
      <c r="KW61" s="2525"/>
      <c r="KX61" s="2525"/>
      <c r="KY61" s="2525"/>
      <c r="KZ61" s="2525"/>
      <c r="LA61" s="2525"/>
      <c r="LB61" s="2525"/>
      <c r="LC61" s="2525"/>
      <c r="LD61" s="2525"/>
      <c r="LE61" s="2525"/>
      <c r="LF61" s="2525"/>
      <c r="LG61" s="2525"/>
      <c r="LH61" s="2525"/>
      <c r="LI61" s="2525"/>
      <c r="LJ61" s="2525"/>
      <c r="LK61" s="2525"/>
      <c r="LL61" s="2525"/>
      <c r="LM61" s="2525"/>
      <c r="LN61" s="2525"/>
      <c r="LO61" s="2525"/>
      <c r="LP61" s="2525"/>
      <c r="LQ61" s="2525"/>
      <c r="LR61" s="2525"/>
    </row>
    <row r="62" spans="1:330">
      <c r="A62" s="2525"/>
      <c r="B62" s="2525"/>
      <c r="C62" s="2525"/>
      <c r="D62" s="2525"/>
      <c r="E62" s="2525"/>
      <c r="F62" s="2525"/>
      <c r="G62" s="2525"/>
      <c r="H62" s="2525"/>
      <c r="I62" s="2525"/>
      <c r="J62" s="2525"/>
      <c r="K62" s="2525"/>
      <c r="L62" s="2525"/>
      <c r="M62" s="2525"/>
      <c r="N62" s="2525"/>
      <c r="O62" s="2525"/>
      <c r="P62" s="2525"/>
      <c r="Q62" s="2525"/>
      <c r="R62" s="2525"/>
      <c r="S62" s="2525"/>
      <c r="T62" s="2525"/>
      <c r="U62" s="2525"/>
      <c r="V62" s="2525"/>
      <c r="W62" s="2525"/>
      <c r="X62" s="2525"/>
      <c r="Y62" s="2525"/>
      <c r="Z62" s="2525"/>
      <c r="AA62" s="2525"/>
      <c r="AB62" s="2525"/>
      <c r="AC62" s="2525"/>
      <c r="AD62" s="2525"/>
      <c r="AE62" s="2525"/>
      <c r="AF62" s="2525"/>
      <c r="AG62" s="2525"/>
      <c r="AH62" s="2525"/>
      <c r="AI62" s="2525"/>
      <c r="AJ62" s="2525"/>
      <c r="AK62" s="2525"/>
      <c r="AL62" s="2525"/>
      <c r="AM62" s="2525"/>
      <c r="AN62" s="2525"/>
      <c r="AO62" s="2525"/>
      <c r="AP62" s="2525"/>
      <c r="AQ62" s="2525"/>
      <c r="AR62" s="2525"/>
      <c r="AS62" s="2525"/>
      <c r="AT62" s="2525"/>
      <c r="AU62" s="2525"/>
      <c r="AV62" s="2525"/>
      <c r="AW62" s="2525"/>
      <c r="AX62" s="2525"/>
      <c r="AY62" s="2525"/>
      <c r="AZ62" s="2525"/>
      <c r="BA62" s="2525"/>
      <c r="BB62" s="2525"/>
      <c r="BC62" s="2525"/>
      <c r="BD62" s="2525"/>
      <c r="BE62" s="2525"/>
      <c r="BF62" s="2525"/>
      <c r="BG62" s="2525"/>
      <c r="BH62" s="2525"/>
      <c r="BI62" s="2525"/>
      <c r="BJ62" s="2525"/>
      <c r="BK62" s="2525"/>
      <c r="BL62" s="2525"/>
      <c r="BM62" s="2525"/>
      <c r="BN62" s="2525"/>
      <c r="BO62" s="2525"/>
      <c r="BP62" s="2525"/>
      <c r="BQ62" s="2525"/>
      <c r="BR62" s="2525"/>
      <c r="BS62" s="2525"/>
      <c r="BT62" s="2525"/>
      <c r="BU62" s="2525"/>
      <c r="BV62" s="2525"/>
      <c r="BW62" s="2525"/>
      <c r="BX62" s="2525"/>
      <c r="BY62" s="2525"/>
      <c r="BZ62" s="2525"/>
      <c r="CA62" s="2525"/>
      <c r="CB62" s="2525"/>
      <c r="CC62" s="2525"/>
      <c r="CD62" s="2525"/>
      <c r="CE62" s="2525"/>
      <c r="CF62" s="2525"/>
      <c r="CG62" s="2525"/>
      <c r="CH62" s="2525"/>
      <c r="CI62" s="2525"/>
      <c r="CJ62" s="2525"/>
      <c r="CK62" s="2525"/>
      <c r="CL62" s="2525"/>
      <c r="CM62" s="2525"/>
      <c r="CN62" s="2525"/>
      <c r="CO62" s="2525"/>
      <c r="CP62" s="2525"/>
      <c r="CQ62" s="2525"/>
      <c r="CR62" s="2525"/>
      <c r="CS62" s="2525"/>
      <c r="CT62" s="2525"/>
      <c r="CU62" s="2525"/>
      <c r="CV62" s="2525"/>
      <c r="CW62" s="2525"/>
      <c r="CX62" s="2525"/>
      <c r="CY62" s="2525"/>
      <c r="CZ62" s="2525"/>
      <c r="DA62" s="2525"/>
      <c r="DB62" s="2525"/>
      <c r="DC62" s="2525"/>
      <c r="DD62" s="2525"/>
      <c r="DE62" s="2525"/>
      <c r="DF62" s="2525"/>
      <c r="DG62" s="2525"/>
      <c r="DH62" s="2525"/>
      <c r="DI62" s="2525"/>
      <c r="DJ62" s="2525"/>
      <c r="DK62" s="2525"/>
      <c r="DL62" s="2525"/>
      <c r="DM62" s="2525"/>
      <c r="DN62" s="2525"/>
      <c r="DO62" s="2525"/>
      <c r="DP62" s="2525"/>
      <c r="DQ62" s="2525"/>
      <c r="DR62" s="2525"/>
      <c r="DS62" s="2525"/>
      <c r="DT62" s="2525"/>
      <c r="DU62" s="2525"/>
      <c r="DV62" s="2525"/>
      <c r="DW62" s="2525"/>
      <c r="DX62" s="2525"/>
      <c r="DY62" s="2525"/>
      <c r="DZ62" s="2525"/>
      <c r="EA62" s="2525"/>
      <c r="EB62" s="2525"/>
      <c r="EC62" s="2525"/>
      <c r="ED62" s="2525"/>
      <c r="EE62" s="2525"/>
      <c r="EF62" s="2525"/>
      <c r="EG62" s="2525"/>
      <c r="EH62" s="2525"/>
      <c r="EI62" s="2525"/>
      <c r="EJ62" s="2525"/>
      <c r="EK62" s="2525"/>
      <c r="EL62" s="2525"/>
      <c r="EM62" s="2525"/>
      <c r="EN62" s="2525"/>
      <c r="EO62" s="2525"/>
      <c r="EP62" s="2525"/>
      <c r="EQ62" s="2525"/>
      <c r="ER62" s="2525"/>
      <c r="ES62" s="2525"/>
      <c r="ET62" s="2525"/>
      <c r="EU62" s="2525"/>
      <c r="EV62" s="2525"/>
      <c r="EW62" s="2525"/>
      <c r="EX62" s="2525"/>
      <c r="EY62" s="2525"/>
      <c r="EZ62" s="2525"/>
      <c r="FA62" s="2525"/>
      <c r="FB62" s="2525"/>
      <c r="FC62" s="2525"/>
      <c r="FD62" s="708"/>
      <c r="FE62" s="708"/>
      <c r="FF62" s="708"/>
      <c r="FG62" s="708"/>
      <c r="FH62" s="708"/>
      <c r="FI62" s="708"/>
      <c r="FJ62" s="708"/>
      <c r="FK62" s="708"/>
      <c r="FL62" s="708"/>
      <c r="FM62" s="708"/>
      <c r="FN62" s="708"/>
      <c r="FO62" s="708"/>
      <c r="FP62" s="708"/>
      <c r="FQ62" s="708"/>
      <c r="FR62" s="708"/>
      <c r="FS62" s="708"/>
      <c r="FT62" s="708"/>
      <c r="FU62" s="708"/>
      <c r="FV62" s="708"/>
      <c r="FW62" s="708"/>
      <c r="FX62" s="708"/>
      <c r="FY62" s="708"/>
      <c r="FZ62" s="708"/>
      <c r="GA62" s="708"/>
      <c r="GB62" s="708"/>
      <c r="GC62" s="708"/>
      <c r="GD62" s="708"/>
      <c r="GE62" s="708"/>
      <c r="GF62" s="708"/>
      <c r="GG62" s="708"/>
      <c r="GH62" s="708"/>
      <c r="GI62" s="708"/>
      <c r="GJ62" s="708"/>
      <c r="GK62" s="708"/>
      <c r="GL62" s="708"/>
      <c r="GM62" s="708"/>
      <c r="GN62" s="708"/>
      <c r="GO62" s="708"/>
      <c r="GP62" s="708"/>
      <c r="GQ62" s="708"/>
      <c r="GR62" s="708"/>
      <c r="GS62" s="708"/>
      <c r="GT62" s="708"/>
      <c r="GU62" s="708"/>
      <c r="GV62" s="708"/>
      <c r="GW62" s="708"/>
      <c r="GX62" s="708"/>
      <c r="GY62" s="708"/>
      <c r="GZ62" s="708"/>
      <c r="HA62" s="708"/>
      <c r="HB62" s="708"/>
      <c r="HC62" s="708"/>
      <c r="HD62" s="708"/>
      <c r="HE62" s="708"/>
      <c r="HF62" s="708"/>
      <c r="HG62" s="708"/>
      <c r="HH62" s="708"/>
      <c r="HI62" s="708"/>
      <c r="HJ62" s="708"/>
      <c r="HK62" s="708"/>
      <c r="HL62" s="708"/>
      <c r="HM62" s="708"/>
      <c r="HN62" s="708"/>
      <c r="HO62" s="708"/>
      <c r="HP62" s="708"/>
      <c r="HQ62" s="708"/>
      <c r="HR62" s="708"/>
      <c r="HS62" s="708"/>
      <c r="HT62" s="708"/>
      <c r="HU62" s="708"/>
      <c r="HV62" s="708"/>
      <c r="HW62" s="708"/>
      <c r="HX62" s="708"/>
      <c r="HY62" s="708"/>
      <c r="HZ62" s="708"/>
      <c r="IA62" s="708"/>
      <c r="IB62" s="708"/>
      <c r="IC62" s="708"/>
      <c r="ID62" s="708"/>
      <c r="IE62" s="708"/>
      <c r="IF62" s="708"/>
      <c r="IG62" s="708"/>
      <c r="IH62" s="708"/>
      <c r="II62" s="708"/>
      <c r="IJ62" s="708"/>
      <c r="IK62" s="708"/>
      <c r="IL62" s="708"/>
      <c r="IM62" s="708"/>
      <c r="IN62" s="708"/>
      <c r="IO62" s="708"/>
      <c r="IP62" s="708"/>
      <c r="IQ62" s="708"/>
      <c r="IR62" s="708"/>
      <c r="IS62" s="708"/>
      <c r="IT62" s="708"/>
      <c r="IU62" s="708"/>
      <c r="IV62" s="708"/>
      <c r="IW62" s="708"/>
      <c r="IX62" s="708"/>
      <c r="IY62" s="708"/>
      <c r="IZ62" s="708"/>
      <c r="JA62" s="708"/>
      <c r="JB62" s="2525"/>
      <c r="JC62" s="2525"/>
      <c r="JD62" s="2525"/>
      <c r="JE62" s="2525"/>
      <c r="JF62" s="2525"/>
      <c r="JG62" s="2525"/>
      <c r="JH62" s="2525"/>
      <c r="JI62" s="2525"/>
      <c r="JJ62" s="2525"/>
      <c r="JK62" s="2525"/>
      <c r="JL62" s="2525"/>
      <c r="JM62" s="2525"/>
      <c r="JN62" s="2525"/>
      <c r="JO62" s="2525"/>
      <c r="JP62" s="2525"/>
      <c r="JQ62" s="2525"/>
      <c r="JS62" s="2525"/>
      <c r="JT62" s="2525"/>
      <c r="JU62" s="2525"/>
      <c r="JV62" s="2525"/>
      <c r="JW62" s="2525"/>
      <c r="JX62" s="2525"/>
      <c r="JY62" s="2525"/>
      <c r="JZ62" s="2525"/>
      <c r="KA62" s="708"/>
      <c r="KB62" s="708"/>
      <c r="KC62" s="708"/>
      <c r="KD62" s="708"/>
      <c r="KE62" s="708"/>
      <c r="KF62" s="708"/>
      <c r="KG62" s="708"/>
      <c r="KH62" s="708"/>
      <c r="KI62" s="708"/>
      <c r="KJ62" s="421"/>
      <c r="KK62" s="421"/>
      <c r="KL62" s="708"/>
      <c r="KM62" s="708"/>
      <c r="KN62" s="2525"/>
      <c r="KO62" s="2525"/>
      <c r="KP62" s="2525"/>
      <c r="KQ62" s="2525"/>
      <c r="KR62" s="2525"/>
      <c r="KS62" s="2525"/>
      <c r="KT62" s="2525"/>
      <c r="KU62" s="2525"/>
      <c r="KV62" s="2525"/>
      <c r="KW62" s="2525"/>
      <c r="KX62" s="2525"/>
      <c r="KY62" s="2525"/>
      <c r="KZ62" s="2525"/>
      <c r="LA62" s="2525"/>
      <c r="LB62" s="2525"/>
      <c r="LC62" s="2525"/>
      <c r="LD62" s="2525"/>
      <c r="LE62" s="2525"/>
      <c r="LF62" s="2525"/>
      <c r="LG62" s="2525"/>
      <c r="LH62" s="2525"/>
      <c r="LI62" s="2525"/>
      <c r="LJ62" s="2525"/>
      <c r="LK62" s="2525"/>
      <c r="LL62" s="2525"/>
      <c r="LM62" s="2525"/>
      <c r="LN62" s="2525"/>
      <c r="LO62" s="2525"/>
      <c r="LP62" s="2525"/>
      <c r="LQ62" s="2525"/>
      <c r="LR62" s="2525"/>
    </row>
    <row r="63" spans="1:330">
      <c r="A63" s="2525"/>
      <c r="B63" s="2525"/>
      <c r="C63" s="2525"/>
      <c r="D63" s="2525"/>
      <c r="E63" s="2525"/>
      <c r="F63" s="2525"/>
      <c r="G63" s="2525"/>
      <c r="H63" s="2525"/>
      <c r="I63" s="2525"/>
      <c r="J63" s="2525"/>
      <c r="K63" s="2525"/>
      <c r="L63" s="2525"/>
      <c r="M63" s="2525"/>
      <c r="N63" s="2525"/>
      <c r="O63" s="2525"/>
      <c r="P63" s="2525"/>
      <c r="Q63" s="2525"/>
      <c r="R63" s="2525"/>
      <c r="S63" s="2525"/>
      <c r="T63" s="2525"/>
      <c r="U63" s="2525"/>
      <c r="V63" s="2525"/>
      <c r="W63" s="2525"/>
      <c r="X63" s="2525"/>
      <c r="Y63" s="2525"/>
      <c r="Z63" s="2525"/>
      <c r="AA63" s="2525"/>
      <c r="AB63" s="2525"/>
      <c r="AC63" s="2525"/>
      <c r="AD63" s="2525"/>
      <c r="AE63" s="2525"/>
      <c r="AF63" s="2525"/>
      <c r="AG63" s="2525"/>
      <c r="AH63" s="2525"/>
      <c r="AI63" s="2525"/>
      <c r="AJ63" s="2525"/>
      <c r="AK63" s="2525"/>
      <c r="AL63" s="2525"/>
      <c r="AM63" s="2525"/>
      <c r="AN63" s="2525"/>
      <c r="AO63" s="2525"/>
      <c r="AP63" s="2525"/>
      <c r="AQ63" s="2525"/>
      <c r="AR63" s="2525"/>
      <c r="AS63" s="2525"/>
      <c r="AT63" s="2525"/>
      <c r="AU63" s="2525"/>
      <c r="AV63" s="2525"/>
      <c r="AW63" s="2525"/>
      <c r="AX63" s="2525"/>
      <c r="AY63" s="2525"/>
      <c r="AZ63" s="2525"/>
      <c r="BA63" s="2525"/>
      <c r="BB63" s="2525"/>
      <c r="BC63" s="2525"/>
      <c r="BD63" s="2525"/>
      <c r="BE63" s="2525"/>
      <c r="BF63" s="2525"/>
      <c r="BG63" s="2525"/>
      <c r="BH63" s="2525"/>
      <c r="BI63" s="2525"/>
      <c r="BJ63" s="2525"/>
      <c r="BK63" s="2525"/>
      <c r="BL63" s="2525"/>
      <c r="BM63" s="2525"/>
      <c r="BN63" s="2525"/>
      <c r="BO63" s="2525"/>
      <c r="BP63" s="2525"/>
      <c r="BQ63" s="2525"/>
      <c r="BR63" s="2525"/>
      <c r="BS63" s="2525"/>
      <c r="BT63" s="2525"/>
      <c r="BU63" s="2525"/>
      <c r="BV63" s="2525"/>
      <c r="BW63" s="2525"/>
      <c r="BX63" s="2525"/>
      <c r="BY63" s="2525"/>
      <c r="BZ63" s="2525"/>
      <c r="CA63" s="2525"/>
      <c r="CB63" s="2525"/>
      <c r="CC63" s="2525"/>
      <c r="CD63" s="2525"/>
      <c r="CE63" s="2525"/>
      <c r="CF63" s="2525"/>
      <c r="CG63" s="2525"/>
      <c r="CH63" s="2525"/>
      <c r="CI63" s="2525"/>
      <c r="CJ63" s="2525"/>
      <c r="CK63" s="2525"/>
      <c r="CL63" s="2525"/>
      <c r="CM63" s="2525"/>
      <c r="CN63" s="2525"/>
      <c r="CO63" s="2525"/>
      <c r="CP63" s="2525"/>
      <c r="CQ63" s="2525"/>
      <c r="CR63" s="2525"/>
      <c r="CS63" s="2525"/>
      <c r="CT63" s="2525"/>
      <c r="CU63" s="2525"/>
      <c r="CV63" s="2525"/>
      <c r="CW63" s="2525"/>
      <c r="CX63" s="2525"/>
      <c r="CY63" s="2525"/>
      <c r="CZ63" s="2525"/>
      <c r="DA63" s="2525"/>
      <c r="DB63" s="2525"/>
      <c r="DC63" s="2525"/>
      <c r="DD63" s="2525"/>
      <c r="DE63" s="2525"/>
      <c r="DF63" s="2525"/>
      <c r="DG63" s="2525"/>
      <c r="DH63" s="2525"/>
      <c r="DI63" s="2525"/>
      <c r="DJ63" s="2525"/>
      <c r="DK63" s="2525"/>
      <c r="DL63" s="2525"/>
      <c r="DM63" s="2525"/>
      <c r="DN63" s="2525"/>
      <c r="DO63" s="2525"/>
      <c r="DP63" s="2525"/>
      <c r="DQ63" s="2525"/>
      <c r="DR63" s="2525"/>
      <c r="DS63" s="2525"/>
      <c r="DT63" s="2525"/>
      <c r="DU63" s="2525"/>
      <c r="DV63" s="2525"/>
      <c r="DW63" s="2525"/>
      <c r="DX63" s="2525"/>
      <c r="DY63" s="2525"/>
      <c r="DZ63" s="2525"/>
      <c r="EA63" s="2525"/>
      <c r="EB63" s="2525"/>
      <c r="EC63" s="2525"/>
      <c r="ED63" s="2525"/>
      <c r="EE63" s="2525"/>
      <c r="EF63" s="2525"/>
      <c r="EG63" s="2525"/>
      <c r="EH63" s="2525"/>
      <c r="EI63" s="2525"/>
      <c r="EJ63" s="2525"/>
      <c r="EK63" s="2525"/>
      <c r="EL63" s="2525"/>
      <c r="EM63" s="2525"/>
      <c r="EN63" s="2525"/>
      <c r="EO63" s="2525"/>
      <c r="EP63" s="2525"/>
      <c r="EQ63" s="2525"/>
      <c r="ER63" s="2525"/>
      <c r="ES63" s="2525"/>
      <c r="ET63" s="2525"/>
      <c r="EU63" s="2525"/>
      <c r="EV63" s="2525"/>
      <c r="EW63" s="2525"/>
      <c r="EX63" s="2525"/>
      <c r="EY63" s="2525"/>
      <c r="EZ63" s="2525"/>
      <c r="FA63" s="2525"/>
      <c r="FB63" s="2525"/>
      <c r="FC63" s="2525"/>
      <c r="FD63" s="708"/>
      <c r="FE63" s="708"/>
      <c r="FF63" s="708"/>
      <c r="FG63" s="708"/>
      <c r="FH63" s="708"/>
      <c r="FI63" s="708"/>
      <c r="FJ63" s="708"/>
      <c r="FK63" s="708"/>
      <c r="FL63" s="708"/>
      <c r="FM63" s="708"/>
      <c r="FN63" s="708"/>
      <c r="FO63" s="708"/>
      <c r="FP63" s="708"/>
      <c r="FQ63" s="708"/>
      <c r="FR63" s="708"/>
      <c r="FS63" s="708"/>
      <c r="FT63" s="708"/>
      <c r="FU63" s="708"/>
      <c r="FV63" s="708"/>
      <c r="FW63" s="708"/>
      <c r="FX63" s="708"/>
      <c r="FY63" s="708"/>
      <c r="FZ63" s="708"/>
      <c r="GA63" s="708"/>
      <c r="GB63" s="708"/>
      <c r="GC63" s="708"/>
      <c r="GD63" s="708"/>
      <c r="GE63" s="708"/>
      <c r="GF63" s="708"/>
      <c r="GG63" s="708"/>
      <c r="GH63" s="708"/>
      <c r="GI63" s="708"/>
      <c r="GJ63" s="708"/>
      <c r="GK63" s="708"/>
      <c r="GL63" s="708"/>
      <c r="GM63" s="708"/>
      <c r="GN63" s="708"/>
      <c r="GO63" s="708"/>
      <c r="GP63" s="708"/>
      <c r="GQ63" s="708"/>
      <c r="GR63" s="708"/>
      <c r="GS63" s="708"/>
      <c r="GT63" s="708"/>
      <c r="GU63" s="708"/>
      <c r="GV63" s="708"/>
      <c r="GW63" s="708"/>
      <c r="GX63" s="708"/>
      <c r="GY63" s="708"/>
      <c r="GZ63" s="708"/>
      <c r="HA63" s="708"/>
      <c r="HB63" s="708"/>
      <c r="HC63" s="708"/>
      <c r="HD63" s="708"/>
      <c r="HE63" s="708"/>
      <c r="HF63" s="708"/>
      <c r="HG63" s="708"/>
      <c r="HH63" s="708"/>
      <c r="HI63" s="708"/>
      <c r="HJ63" s="708"/>
      <c r="HK63" s="708"/>
      <c r="HL63" s="708"/>
      <c r="HM63" s="708"/>
      <c r="HN63" s="708"/>
      <c r="HO63" s="708"/>
      <c r="HP63" s="708"/>
      <c r="HQ63" s="708"/>
      <c r="HR63" s="708"/>
      <c r="HS63" s="708"/>
      <c r="HT63" s="708"/>
      <c r="HU63" s="708"/>
      <c r="HV63" s="708"/>
      <c r="HW63" s="708"/>
      <c r="HX63" s="708"/>
      <c r="HY63" s="708"/>
      <c r="HZ63" s="708"/>
      <c r="IA63" s="708"/>
      <c r="IB63" s="708"/>
      <c r="IC63" s="708"/>
      <c r="ID63" s="708"/>
      <c r="IE63" s="708"/>
      <c r="IF63" s="708"/>
      <c r="IG63" s="708"/>
      <c r="IH63" s="708"/>
      <c r="II63" s="708"/>
      <c r="IJ63" s="708"/>
      <c r="IK63" s="708"/>
      <c r="IL63" s="708"/>
      <c r="IM63" s="708"/>
      <c r="IN63" s="708"/>
      <c r="IO63" s="708"/>
      <c r="IP63" s="708"/>
      <c r="IQ63" s="708"/>
      <c r="IR63" s="708"/>
      <c r="IS63" s="708"/>
      <c r="IT63" s="708"/>
      <c r="IU63" s="708"/>
      <c r="IV63" s="708"/>
      <c r="IW63" s="708"/>
      <c r="IX63" s="708"/>
      <c r="IY63" s="708"/>
      <c r="IZ63" s="708"/>
      <c r="JA63" s="708"/>
      <c r="JB63" s="2525"/>
      <c r="JC63" s="2525"/>
      <c r="JD63" s="2525"/>
      <c r="JE63" s="2525"/>
      <c r="JF63" s="2525"/>
      <c r="JG63" s="2525"/>
      <c r="JH63" s="2525"/>
      <c r="JI63" s="2525"/>
      <c r="JJ63" s="2525"/>
      <c r="JK63" s="2525"/>
      <c r="JL63" s="2525"/>
      <c r="JM63" s="2525"/>
      <c r="JN63" s="2525"/>
      <c r="JO63" s="2525"/>
      <c r="JP63" s="2525"/>
      <c r="JQ63" s="2525"/>
      <c r="JS63" s="2525"/>
      <c r="JT63" s="2525"/>
      <c r="JU63" s="2525"/>
      <c r="JV63" s="2525"/>
      <c r="JW63" s="2525"/>
      <c r="JX63" s="2525"/>
      <c r="JY63" s="2525"/>
      <c r="JZ63" s="2525"/>
      <c r="KA63" s="708"/>
      <c r="KB63" s="708"/>
      <c r="KC63" s="708"/>
      <c r="KD63" s="708"/>
      <c r="KE63" s="708"/>
      <c r="KF63" s="708"/>
      <c r="KG63" s="708"/>
      <c r="KH63" s="708"/>
      <c r="KI63" s="708"/>
      <c r="KJ63" s="421"/>
      <c r="KK63" s="421"/>
      <c r="KL63" s="708"/>
      <c r="KM63" s="708"/>
      <c r="KN63" s="2525"/>
      <c r="KO63" s="2525"/>
      <c r="KP63" s="2525"/>
      <c r="KQ63" s="2525"/>
      <c r="KR63" s="2525"/>
      <c r="KS63" s="2525"/>
      <c r="KT63" s="2525"/>
      <c r="KU63" s="2525"/>
      <c r="KV63" s="2525"/>
      <c r="KW63" s="2525"/>
      <c r="KX63" s="2525"/>
      <c r="KY63" s="2525"/>
      <c r="KZ63" s="2525"/>
      <c r="LA63" s="2525"/>
      <c r="LB63" s="2525"/>
      <c r="LC63" s="2525"/>
      <c r="LD63" s="2525"/>
      <c r="LE63" s="2525"/>
      <c r="LF63" s="2525"/>
      <c r="LG63" s="2525"/>
      <c r="LH63" s="2525"/>
      <c r="LI63" s="2525"/>
      <c r="LJ63" s="2525"/>
      <c r="LK63" s="2525"/>
      <c r="LL63" s="2525"/>
      <c r="LM63" s="2525"/>
      <c r="LN63" s="2525"/>
      <c r="LO63" s="2525"/>
      <c r="LP63" s="2525"/>
      <c r="LQ63" s="2525"/>
      <c r="LR63" s="2525"/>
    </row>
    <row r="64" spans="1:330">
      <c r="A64" s="2525"/>
      <c r="B64" s="2525"/>
      <c r="C64" s="2525"/>
      <c r="D64" s="2525"/>
      <c r="E64" s="2525"/>
      <c r="F64" s="2525"/>
      <c r="G64" s="2525"/>
      <c r="H64" s="2525"/>
      <c r="I64" s="2525"/>
      <c r="J64" s="2525"/>
      <c r="K64" s="2525"/>
      <c r="L64" s="2525"/>
      <c r="M64" s="2525"/>
      <c r="N64" s="2525"/>
      <c r="O64" s="2525"/>
      <c r="P64" s="2525"/>
      <c r="Q64" s="2525"/>
      <c r="R64" s="2525"/>
      <c r="S64" s="2525"/>
      <c r="T64" s="2525"/>
      <c r="U64" s="2525"/>
      <c r="V64" s="2525"/>
      <c r="W64" s="2525"/>
      <c r="X64" s="2525"/>
      <c r="Y64" s="2525"/>
      <c r="Z64" s="2525"/>
      <c r="AA64" s="2525"/>
      <c r="AB64" s="2525"/>
      <c r="AC64" s="2525"/>
      <c r="AD64" s="2525"/>
      <c r="AE64" s="2525"/>
      <c r="AF64" s="2525"/>
      <c r="AG64" s="2525"/>
      <c r="AH64" s="2525"/>
      <c r="AI64" s="2525"/>
      <c r="AJ64" s="2525"/>
      <c r="AK64" s="2525"/>
      <c r="AL64" s="2525"/>
      <c r="AM64" s="2525"/>
      <c r="AN64" s="2525"/>
      <c r="AO64" s="2525"/>
      <c r="AP64" s="2525"/>
      <c r="AQ64" s="2525"/>
      <c r="AR64" s="2525"/>
      <c r="AS64" s="2525"/>
      <c r="AT64" s="2525"/>
      <c r="AU64" s="2525"/>
      <c r="AV64" s="2525"/>
      <c r="AW64" s="2525"/>
      <c r="AX64" s="2525"/>
      <c r="AY64" s="2525"/>
      <c r="AZ64" s="2525"/>
      <c r="BA64" s="2525"/>
      <c r="BB64" s="2525"/>
      <c r="BC64" s="2525"/>
      <c r="BD64" s="2525"/>
      <c r="BE64" s="2525"/>
      <c r="BF64" s="2525"/>
      <c r="BG64" s="2525"/>
      <c r="BH64" s="2525"/>
      <c r="BI64" s="2525"/>
      <c r="BJ64" s="2525"/>
      <c r="BK64" s="2525"/>
      <c r="BL64" s="2525"/>
      <c r="BM64" s="2525"/>
      <c r="BN64" s="2525"/>
      <c r="BO64" s="2525"/>
      <c r="BP64" s="2525"/>
      <c r="BQ64" s="2525"/>
      <c r="BR64" s="2525"/>
      <c r="BS64" s="2525"/>
      <c r="BT64" s="2525"/>
      <c r="BU64" s="2525"/>
      <c r="BV64" s="2525"/>
      <c r="BW64" s="2525"/>
      <c r="BX64" s="2525"/>
      <c r="BY64" s="2525"/>
      <c r="BZ64" s="2525"/>
      <c r="CA64" s="2525"/>
      <c r="CB64" s="2525"/>
      <c r="CC64" s="2525"/>
      <c r="CD64" s="2525"/>
      <c r="CE64" s="2525"/>
      <c r="CF64" s="2525"/>
      <c r="CG64" s="2525"/>
      <c r="CH64" s="2525"/>
      <c r="CI64" s="2525"/>
      <c r="CJ64" s="2525"/>
      <c r="CK64" s="2525"/>
      <c r="CL64" s="2525"/>
      <c r="CM64" s="2525"/>
      <c r="CN64" s="2525"/>
      <c r="CO64" s="2525"/>
      <c r="CP64" s="2525"/>
      <c r="CQ64" s="2525"/>
      <c r="CR64" s="2525"/>
      <c r="CS64" s="2525"/>
      <c r="CT64" s="2525"/>
      <c r="CU64" s="2525"/>
      <c r="CV64" s="2525"/>
      <c r="CW64" s="2525"/>
      <c r="CX64" s="2525"/>
      <c r="CY64" s="2525"/>
      <c r="CZ64" s="2525"/>
      <c r="DA64" s="2525"/>
      <c r="DB64" s="2525"/>
      <c r="DC64" s="2525"/>
      <c r="DD64" s="2525"/>
      <c r="DE64" s="2525"/>
      <c r="DF64" s="2525"/>
      <c r="DG64" s="2525"/>
      <c r="DH64" s="2525"/>
      <c r="DI64" s="2525"/>
      <c r="DJ64" s="2525"/>
      <c r="DK64" s="2525"/>
      <c r="DL64" s="2525"/>
      <c r="DM64" s="2525"/>
      <c r="DN64" s="2525"/>
      <c r="DO64" s="2525"/>
      <c r="DP64" s="2525"/>
      <c r="DQ64" s="2525"/>
      <c r="DR64" s="2525"/>
      <c r="DS64" s="2525"/>
      <c r="DT64" s="2525"/>
      <c r="DU64" s="2525"/>
      <c r="DV64" s="2525"/>
      <c r="DW64" s="2525"/>
      <c r="DX64" s="2525"/>
      <c r="DY64" s="2525"/>
      <c r="DZ64" s="2525"/>
      <c r="EA64" s="2525"/>
      <c r="EB64" s="2525"/>
      <c r="EC64" s="2525"/>
      <c r="ED64" s="2525"/>
      <c r="EE64" s="2525"/>
      <c r="EF64" s="2525"/>
      <c r="EG64" s="2525"/>
      <c r="EH64" s="2525"/>
      <c r="EI64" s="2525"/>
      <c r="EJ64" s="2525"/>
      <c r="EK64" s="2525"/>
      <c r="EL64" s="2525"/>
      <c r="EM64" s="2525"/>
      <c r="EN64" s="2525"/>
      <c r="EO64" s="2525"/>
      <c r="EP64" s="2525"/>
      <c r="EQ64" s="2525"/>
      <c r="ER64" s="2525"/>
      <c r="ES64" s="2525"/>
      <c r="ET64" s="2525"/>
      <c r="EU64" s="2525"/>
      <c r="EV64" s="2525"/>
      <c r="EW64" s="2525"/>
      <c r="EX64" s="2525"/>
      <c r="EY64" s="2525"/>
      <c r="EZ64" s="2525"/>
      <c r="FA64" s="2525"/>
      <c r="FB64" s="2525"/>
      <c r="FC64" s="2525"/>
      <c r="FD64" s="708"/>
      <c r="FE64" s="708"/>
      <c r="FF64" s="708"/>
      <c r="FG64" s="708"/>
      <c r="FH64" s="708"/>
      <c r="FI64" s="708"/>
      <c r="FJ64" s="708"/>
      <c r="FK64" s="708"/>
      <c r="FL64" s="708"/>
      <c r="FM64" s="708"/>
      <c r="FN64" s="708"/>
      <c r="FO64" s="708"/>
      <c r="FP64" s="708"/>
      <c r="FQ64" s="708"/>
      <c r="FR64" s="708"/>
      <c r="FS64" s="708"/>
      <c r="FT64" s="708"/>
      <c r="FU64" s="708"/>
      <c r="FV64" s="708"/>
      <c r="FW64" s="708"/>
      <c r="FX64" s="708"/>
      <c r="FY64" s="708"/>
      <c r="FZ64" s="708"/>
      <c r="GA64" s="708"/>
      <c r="GB64" s="708"/>
      <c r="GC64" s="708"/>
      <c r="GD64" s="708"/>
      <c r="GE64" s="708"/>
      <c r="GF64" s="708"/>
      <c r="GG64" s="708"/>
      <c r="GH64" s="708"/>
      <c r="GI64" s="708"/>
      <c r="GJ64" s="708"/>
      <c r="GK64" s="708"/>
      <c r="GL64" s="708"/>
      <c r="GM64" s="708"/>
      <c r="GN64" s="708"/>
      <c r="GO64" s="708"/>
      <c r="GP64" s="708"/>
      <c r="GQ64" s="708"/>
      <c r="GR64" s="708"/>
      <c r="GS64" s="708"/>
      <c r="GT64" s="708"/>
      <c r="GU64" s="708"/>
      <c r="GV64" s="708"/>
      <c r="GW64" s="708"/>
      <c r="GX64" s="708"/>
      <c r="GY64" s="708"/>
      <c r="GZ64" s="708"/>
      <c r="HA64" s="708"/>
      <c r="HB64" s="708"/>
      <c r="HC64" s="708"/>
      <c r="HD64" s="708"/>
      <c r="HE64" s="708"/>
      <c r="HF64" s="708"/>
      <c r="HG64" s="708"/>
      <c r="HH64" s="708"/>
      <c r="HI64" s="708"/>
      <c r="HJ64" s="708"/>
      <c r="HK64" s="708"/>
      <c r="HL64" s="708"/>
      <c r="HM64" s="708"/>
      <c r="HN64" s="708"/>
      <c r="HO64" s="708"/>
      <c r="HP64" s="708"/>
      <c r="HQ64" s="708"/>
      <c r="HR64" s="708"/>
      <c r="HS64" s="708"/>
      <c r="HT64" s="708"/>
      <c r="HU64" s="708"/>
      <c r="HV64" s="708"/>
      <c r="HW64" s="708"/>
      <c r="HX64" s="708"/>
      <c r="HY64" s="708"/>
      <c r="HZ64" s="708"/>
      <c r="IA64" s="708"/>
      <c r="IB64" s="708"/>
      <c r="IC64" s="708"/>
      <c r="ID64" s="708"/>
      <c r="IE64" s="708"/>
      <c r="IF64" s="708"/>
      <c r="IG64" s="708"/>
      <c r="IH64" s="708"/>
      <c r="II64" s="708"/>
      <c r="IJ64" s="708"/>
      <c r="IK64" s="708"/>
      <c r="IL64" s="708"/>
      <c r="IM64" s="708"/>
      <c r="IN64" s="708"/>
      <c r="IO64" s="708"/>
      <c r="IP64" s="708"/>
      <c r="IQ64" s="708"/>
      <c r="IR64" s="708"/>
      <c r="IS64" s="708"/>
      <c r="IT64" s="708"/>
      <c r="IU64" s="708"/>
      <c r="IV64" s="708"/>
      <c r="IW64" s="708"/>
      <c r="IX64" s="708"/>
      <c r="IY64" s="708"/>
      <c r="IZ64" s="708"/>
      <c r="JA64" s="708"/>
      <c r="JB64" s="2525"/>
      <c r="JC64" s="2525"/>
      <c r="JD64" s="2525"/>
      <c r="JE64" s="2525"/>
      <c r="JF64" s="2525"/>
      <c r="JG64" s="2525"/>
      <c r="JH64" s="2525"/>
      <c r="JI64" s="2525"/>
      <c r="JJ64" s="2525"/>
      <c r="JK64" s="2525"/>
      <c r="JL64" s="2525"/>
      <c r="JM64" s="2525"/>
      <c r="JN64" s="2525"/>
      <c r="JO64" s="2525"/>
      <c r="JP64" s="2525"/>
      <c r="JQ64" s="2525"/>
      <c r="JS64" s="2525"/>
      <c r="JT64" s="2525"/>
      <c r="JU64" s="2525"/>
      <c r="JV64" s="2525"/>
      <c r="JW64" s="2525"/>
      <c r="JX64" s="2525"/>
      <c r="JY64" s="2525"/>
      <c r="JZ64" s="2525"/>
      <c r="KA64" s="708"/>
      <c r="KB64" s="708"/>
      <c r="KC64" s="708"/>
      <c r="KD64" s="708"/>
      <c r="KE64" s="708"/>
      <c r="KF64" s="708"/>
      <c r="KG64" s="708"/>
      <c r="KH64" s="708"/>
      <c r="KI64" s="708"/>
      <c r="KJ64" s="421"/>
      <c r="KK64" s="421"/>
      <c r="KL64" s="708"/>
      <c r="KM64" s="708"/>
      <c r="KN64" s="2525"/>
      <c r="KO64" s="2525"/>
      <c r="KP64" s="2525"/>
      <c r="KQ64" s="2525"/>
      <c r="KR64" s="2525"/>
      <c r="KS64" s="2525"/>
      <c r="KT64" s="2525"/>
      <c r="KU64" s="2525"/>
      <c r="KV64" s="2525"/>
      <c r="KW64" s="2525"/>
      <c r="KX64" s="2525"/>
      <c r="KY64" s="2525"/>
      <c r="KZ64" s="2525"/>
      <c r="LA64" s="2525"/>
      <c r="LB64" s="2525"/>
      <c r="LC64" s="2525"/>
      <c r="LD64" s="2525"/>
      <c r="LE64" s="2525"/>
      <c r="LF64" s="2525"/>
      <c r="LG64" s="2525"/>
      <c r="LH64" s="2525"/>
      <c r="LI64" s="2525"/>
      <c r="LJ64" s="2525"/>
      <c r="LK64" s="2525"/>
      <c r="LL64" s="2525"/>
      <c r="LM64" s="2525"/>
      <c r="LN64" s="2525"/>
      <c r="LO64" s="2525"/>
      <c r="LP64" s="2525"/>
      <c r="LQ64" s="2525"/>
      <c r="LR64" s="2525"/>
    </row>
    <row r="65" spans="1:330">
      <c r="A65" s="2525"/>
      <c r="B65" s="2525"/>
      <c r="C65" s="2525"/>
      <c r="D65" s="2525"/>
      <c r="E65" s="2525"/>
      <c r="F65" s="2525"/>
      <c r="G65" s="2525"/>
      <c r="H65" s="2525"/>
      <c r="I65" s="2525"/>
      <c r="J65" s="2525"/>
      <c r="K65" s="2525"/>
      <c r="L65" s="2525"/>
      <c r="M65" s="2525"/>
      <c r="N65" s="2525"/>
      <c r="O65" s="2525"/>
      <c r="P65" s="2525"/>
      <c r="Q65" s="2525"/>
      <c r="R65" s="2525"/>
      <c r="S65" s="2525"/>
      <c r="T65" s="2525"/>
      <c r="U65" s="2525"/>
      <c r="V65" s="2525"/>
      <c r="W65" s="2525"/>
      <c r="X65" s="2525"/>
      <c r="Y65" s="2525"/>
      <c r="Z65" s="2525"/>
      <c r="AA65" s="2525"/>
      <c r="AB65" s="2525"/>
      <c r="AC65" s="2525"/>
      <c r="AD65" s="2525"/>
      <c r="AE65" s="2525"/>
      <c r="AF65" s="2525"/>
      <c r="AG65" s="2525"/>
      <c r="AH65" s="2525"/>
      <c r="AI65" s="2525"/>
      <c r="AJ65" s="2525"/>
      <c r="AK65" s="2525"/>
      <c r="AL65" s="2525"/>
      <c r="AM65" s="2525"/>
      <c r="AN65" s="2525"/>
      <c r="AO65" s="2525"/>
      <c r="AP65" s="2525"/>
      <c r="AQ65" s="2525"/>
      <c r="AR65" s="2525"/>
      <c r="AS65" s="2525"/>
      <c r="AT65" s="2525"/>
      <c r="AU65" s="2525"/>
      <c r="AV65" s="2525"/>
      <c r="AW65" s="2525"/>
      <c r="AX65" s="2525"/>
      <c r="AY65" s="2525"/>
      <c r="AZ65" s="2525"/>
      <c r="BA65" s="2525"/>
      <c r="BB65" s="2525"/>
      <c r="BC65" s="2525"/>
      <c r="BD65" s="2525"/>
      <c r="BE65" s="2525"/>
      <c r="BF65" s="2525"/>
      <c r="BG65" s="2525"/>
      <c r="BH65" s="2525"/>
      <c r="BI65" s="2525"/>
      <c r="BJ65" s="2525"/>
      <c r="BK65" s="2525"/>
      <c r="BL65" s="2525"/>
      <c r="BM65" s="2525"/>
      <c r="BN65" s="2525"/>
      <c r="BO65" s="2525"/>
      <c r="BP65" s="2525"/>
      <c r="BQ65" s="2525"/>
      <c r="BR65" s="2525"/>
      <c r="BS65" s="2525"/>
      <c r="BT65" s="2525"/>
      <c r="BU65" s="2525"/>
      <c r="BV65" s="2525"/>
      <c r="BW65" s="2525"/>
      <c r="BX65" s="2525"/>
      <c r="BY65" s="2525"/>
      <c r="BZ65" s="2525"/>
      <c r="CA65" s="2525"/>
      <c r="CB65" s="2525"/>
      <c r="CC65" s="2525"/>
      <c r="CD65" s="2525"/>
      <c r="CE65" s="2525"/>
      <c r="CF65" s="2525"/>
      <c r="CG65" s="2525"/>
      <c r="CH65" s="2525"/>
      <c r="CI65" s="2525"/>
      <c r="CJ65" s="2525"/>
      <c r="CK65" s="2525"/>
      <c r="CL65" s="2525"/>
      <c r="CM65" s="2525"/>
      <c r="CN65" s="2525"/>
      <c r="CO65" s="2525"/>
      <c r="CP65" s="2525"/>
      <c r="CQ65" s="2525"/>
      <c r="CR65" s="2525"/>
      <c r="CS65" s="2525"/>
      <c r="CT65" s="2525"/>
      <c r="CU65" s="2525"/>
      <c r="CV65" s="2525"/>
      <c r="CW65" s="2525"/>
      <c r="CX65" s="2525"/>
      <c r="CY65" s="2525"/>
      <c r="CZ65" s="2525"/>
      <c r="DA65" s="2525"/>
      <c r="DB65" s="2525"/>
      <c r="DC65" s="2525"/>
      <c r="DD65" s="2525"/>
      <c r="DE65" s="2525"/>
      <c r="DF65" s="2525"/>
      <c r="DG65" s="2525"/>
      <c r="DH65" s="2525"/>
      <c r="DI65" s="2525"/>
      <c r="DJ65" s="2525"/>
      <c r="DK65" s="2525"/>
      <c r="DL65" s="2525"/>
      <c r="DM65" s="2525"/>
      <c r="DN65" s="2525"/>
      <c r="DO65" s="2525"/>
      <c r="DP65" s="2525"/>
      <c r="DQ65" s="2525"/>
      <c r="DR65" s="2525"/>
      <c r="DS65" s="2525"/>
      <c r="DT65" s="2525"/>
      <c r="DU65" s="2525"/>
      <c r="DV65" s="2525"/>
      <c r="DW65" s="2525"/>
      <c r="DX65" s="2525"/>
      <c r="DY65" s="2525"/>
      <c r="DZ65" s="2525"/>
      <c r="EA65" s="2525"/>
      <c r="EB65" s="2525"/>
      <c r="EC65" s="2525"/>
      <c r="ED65" s="2525"/>
      <c r="EE65" s="2525"/>
      <c r="EF65" s="2525"/>
      <c r="EG65" s="2525"/>
      <c r="EH65" s="2525"/>
      <c r="EI65" s="2525"/>
      <c r="EJ65" s="2525"/>
      <c r="EK65" s="2525"/>
      <c r="EL65" s="2525"/>
      <c r="EM65" s="2525"/>
      <c r="EN65" s="2525"/>
      <c r="EO65" s="2525"/>
      <c r="EP65" s="2525"/>
      <c r="EQ65" s="2525"/>
      <c r="ER65" s="2525"/>
      <c r="ES65" s="2525"/>
      <c r="ET65" s="2525"/>
      <c r="EU65" s="2525"/>
      <c r="EV65" s="2525"/>
      <c r="EW65" s="2525"/>
      <c r="EX65" s="2525"/>
      <c r="EY65" s="2525"/>
      <c r="EZ65" s="2525"/>
      <c r="FA65" s="2525"/>
      <c r="FB65" s="2525"/>
      <c r="FC65" s="2525"/>
      <c r="FD65" s="708"/>
      <c r="FE65" s="708"/>
      <c r="FF65" s="708"/>
      <c r="FG65" s="708"/>
      <c r="FH65" s="708"/>
      <c r="FI65" s="708"/>
      <c r="FJ65" s="708"/>
      <c r="FK65" s="708"/>
      <c r="FL65" s="708"/>
      <c r="FM65" s="708"/>
      <c r="FN65" s="708"/>
      <c r="FO65" s="708"/>
      <c r="FP65" s="708"/>
      <c r="FQ65" s="708"/>
      <c r="FR65" s="708"/>
      <c r="FS65" s="708"/>
      <c r="FT65" s="708"/>
      <c r="FU65" s="708"/>
      <c r="FV65" s="708"/>
      <c r="FW65" s="708"/>
      <c r="FX65" s="708"/>
      <c r="FY65" s="708"/>
      <c r="FZ65" s="708"/>
      <c r="GA65" s="708"/>
      <c r="GB65" s="708"/>
      <c r="GC65" s="708"/>
      <c r="GD65" s="708"/>
      <c r="GE65" s="708"/>
      <c r="GF65" s="708"/>
      <c r="GG65" s="708"/>
      <c r="GH65" s="708"/>
      <c r="GI65" s="708"/>
      <c r="GJ65" s="708"/>
      <c r="GK65" s="708"/>
      <c r="GL65" s="708"/>
      <c r="GM65" s="708"/>
      <c r="GN65" s="708"/>
      <c r="GO65" s="708"/>
      <c r="GP65" s="708"/>
      <c r="GQ65" s="708"/>
      <c r="GR65" s="708"/>
      <c r="GS65" s="708"/>
      <c r="GT65" s="708"/>
      <c r="GU65" s="708"/>
      <c r="GV65" s="708"/>
      <c r="GW65" s="708"/>
      <c r="GX65" s="708"/>
      <c r="GY65" s="708"/>
      <c r="GZ65" s="708"/>
      <c r="HA65" s="708"/>
      <c r="HB65" s="708"/>
      <c r="HC65" s="708"/>
      <c r="HD65" s="708"/>
      <c r="HE65" s="708"/>
      <c r="HF65" s="708"/>
      <c r="HG65" s="708"/>
      <c r="HH65" s="708"/>
      <c r="HI65" s="708"/>
      <c r="HJ65" s="708"/>
      <c r="HK65" s="708"/>
      <c r="HL65" s="708"/>
      <c r="HM65" s="708"/>
      <c r="HN65" s="708"/>
      <c r="HO65" s="708"/>
      <c r="HP65" s="708"/>
      <c r="HQ65" s="708"/>
      <c r="HR65" s="708"/>
      <c r="HS65" s="708"/>
      <c r="HT65" s="708"/>
      <c r="HU65" s="708"/>
      <c r="HV65" s="708"/>
      <c r="HW65" s="708"/>
      <c r="HX65" s="708"/>
      <c r="HY65" s="708"/>
      <c r="HZ65" s="708"/>
      <c r="IA65" s="708"/>
      <c r="IB65" s="708"/>
      <c r="IC65" s="708"/>
      <c r="ID65" s="708"/>
      <c r="IE65" s="708"/>
      <c r="IF65" s="708"/>
      <c r="IG65" s="708"/>
      <c r="IH65" s="708"/>
      <c r="II65" s="708"/>
      <c r="IJ65" s="708"/>
      <c r="IK65" s="708"/>
      <c r="IL65" s="708"/>
      <c r="IM65" s="708"/>
      <c r="IN65" s="708"/>
      <c r="IO65" s="708"/>
      <c r="IP65" s="708"/>
      <c r="IQ65" s="708"/>
      <c r="IR65" s="708"/>
      <c r="IS65" s="708"/>
      <c r="IT65" s="708"/>
      <c r="IU65" s="708"/>
      <c r="IV65" s="708"/>
      <c r="IW65" s="708"/>
      <c r="IX65" s="708"/>
      <c r="IY65" s="708"/>
      <c r="IZ65" s="708"/>
      <c r="JA65" s="708"/>
      <c r="JB65" s="2525"/>
      <c r="JC65" s="2525"/>
      <c r="JD65" s="2525"/>
      <c r="JE65" s="2525"/>
      <c r="JF65" s="2525"/>
      <c r="JG65" s="2525"/>
      <c r="JH65" s="2525"/>
      <c r="JI65" s="2525"/>
      <c r="JJ65" s="2525"/>
      <c r="JK65" s="2525"/>
      <c r="JL65" s="2525"/>
      <c r="JM65" s="2525"/>
      <c r="JN65" s="2525"/>
      <c r="JO65" s="2525"/>
      <c r="JP65" s="2525"/>
      <c r="JQ65" s="2525"/>
      <c r="JS65" s="2525"/>
      <c r="JT65" s="2525"/>
      <c r="JU65" s="2525"/>
      <c r="JV65" s="2525"/>
      <c r="JW65" s="2525"/>
      <c r="JX65" s="2525"/>
      <c r="JY65" s="2525"/>
      <c r="JZ65" s="2525"/>
      <c r="KA65" s="708"/>
      <c r="KB65" s="708"/>
      <c r="KC65" s="708"/>
      <c r="KD65" s="708"/>
      <c r="KE65" s="708"/>
      <c r="KF65" s="708"/>
      <c r="KG65" s="708"/>
      <c r="KH65" s="708"/>
      <c r="KI65" s="708"/>
      <c r="KJ65" s="421"/>
      <c r="KK65" s="421"/>
      <c r="KL65" s="708"/>
      <c r="KM65" s="708"/>
      <c r="KN65" s="2525"/>
      <c r="KO65" s="2525"/>
      <c r="KP65" s="2525"/>
      <c r="KQ65" s="2525"/>
      <c r="KR65" s="2525"/>
      <c r="KS65" s="2525"/>
      <c r="KT65" s="2525"/>
      <c r="KU65" s="2525"/>
      <c r="KV65" s="2525"/>
      <c r="KW65" s="2525"/>
      <c r="KX65" s="2525"/>
      <c r="KY65" s="2525"/>
      <c r="KZ65" s="2525"/>
      <c r="LA65" s="2525"/>
      <c r="LB65" s="2525"/>
      <c r="LC65" s="2525"/>
      <c r="LD65" s="2525"/>
      <c r="LE65" s="2525"/>
      <c r="LF65" s="2525"/>
      <c r="LG65" s="2525"/>
      <c r="LH65" s="2525"/>
      <c r="LI65" s="2525"/>
      <c r="LJ65" s="2525"/>
      <c r="LK65" s="2525"/>
      <c r="LL65" s="2525"/>
      <c r="LM65" s="2525"/>
      <c r="LN65" s="2525"/>
      <c r="LO65" s="2525"/>
      <c r="LP65" s="2525"/>
      <c r="LQ65" s="2525"/>
      <c r="LR65" s="2525"/>
    </row>
    <row r="66" spans="1:330">
      <c r="A66" s="2525"/>
      <c r="B66" s="2525"/>
      <c r="C66" s="2525"/>
      <c r="D66" s="2525"/>
      <c r="E66" s="2525"/>
      <c r="F66" s="2525"/>
      <c r="G66" s="2525"/>
      <c r="H66" s="2525"/>
      <c r="I66" s="2525"/>
      <c r="J66" s="2525"/>
      <c r="K66" s="2525"/>
      <c r="L66" s="2525"/>
      <c r="M66" s="2525"/>
      <c r="N66" s="2525"/>
      <c r="O66" s="2525"/>
      <c r="P66" s="2525"/>
      <c r="Q66" s="2525"/>
      <c r="R66" s="2525"/>
      <c r="S66" s="2525"/>
      <c r="T66" s="2525"/>
      <c r="U66" s="2525"/>
      <c r="V66" s="2525"/>
      <c r="W66" s="2525"/>
      <c r="X66" s="2525"/>
      <c r="Y66" s="2525"/>
      <c r="Z66" s="2525"/>
      <c r="AA66" s="2525"/>
      <c r="AB66" s="2525"/>
      <c r="AC66" s="2525"/>
      <c r="AD66" s="2525"/>
      <c r="AE66" s="2525"/>
      <c r="AF66" s="2525"/>
      <c r="AG66" s="2525"/>
      <c r="AH66" s="2525"/>
      <c r="AI66" s="2525"/>
      <c r="AJ66" s="2525"/>
      <c r="AK66" s="2525"/>
      <c r="AL66" s="2525"/>
      <c r="AM66" s="2525"/>
      <c r="AN66" s="2525"/>
      <c r="AO66" s="2525"/>
      <c r="AP66" s="2525"/>
      <c r="AQ66" s="2525"/>
      <c r="AR66" s="2525"/>
      <c r="AS66" s="2525"/>
      <c r="AT66" s="2525"/>
      <c r="AU66" s="2525"/>
      <c r="AV66" s="2525"/>
      <c r="AW66" s="2525"/>
      <c r="AX66" s="2525"/>
      <c r="AY66" s="2525"/>
      <c r="AZ66" s="2525"/>
      <c r="BA66" s="2525"/>
      <c r="BB66" s="2525"/>
      <c r="BC66" s="2525"/>
      <c r="BD66" s="2525"/>
      <c r="BE66" s="2525"/>
      <c r="BF66" s="2525"/>
      <c r="BG66" s="2525"/>
      <c r="BH66" s="2525"/>
      <c r="BI66" s="2525"/>
      <c r="BJ66" s="2525"/>
      <c r="BK66" s="2525"/>
      <c r="BL66" s="2525"/>
      <c r="BM66" s="2525"/>
      <c r="BN66" s="2525"/>
      <c r="BO66" s="2525"/>
      <c r="BP66" s="2525"/>
      <c r="BQ66" s="2525"/>
      <c r="BR66" s="2525"/>
      <c r="BS66" s="2525"/>
      <c r="BT66" s="2525"/>
      <c r="BU66" s="2525"/>
      <c r="BV66" s="2525"/>
      <c r="BW66" s="2525"/>
      <c r="BX66" s="2525"/>
      <c r="BY66" s="2525"/>
      <c r="BZ66" s="2525"/>
      <c r="CA66" s="2525"/>
      <c r="CB66" s="2525"/>
      <c r="CC66" s="2525"/>
      <c r="CD66" s="2525"/>
      <c r="CE66" s="2525"/>
      <c r="CF66" s="2525"/>
      <c r="CG66" s="2525"/>
      <c r="CH66" s="2525"/>
      <c r="CI66" s="2525"/>
      <c r="CJ66" s="2525"/>
      <c r="CK66" s="2525"/>
      <c r="CL66" s="2525"/>
      <c r="CM66" s="2525"/>
      <c r="CN66" s="2525"/>
      <c r="CO66" s="2525"/>
      <c r="CP66" s="2525"/>
      <c r="CQ66" s="2525"/>
      <c r="CR66" s="2525"/>
      <c r="CS66" s="2525"/>
      <c r="CT66" s="2525"/>
      <c r="CU66" s="2525"/>
      <c r="CV66" s="2525"/>
      <c r="CW66" s="2525"/>
      <c r="CX66" s="2525"/>
      <c r="CY66" s="2525"/>
      <c r="CZ66" s="2525"/>
      <c r="DA66" s="2525"/>
      <c r="DB66" s="2525"/>
      <c r="DC66" s="2525"/>
      <c r="DD66" s="2525"/>
      <c r="DE66" s="2525"/>
      <c r="DF66" s="2525"/>
      <c r="DG66" s="2525"/>
      <c r="DH66" s="2525"/>
      <c r="DI66" s="2525"/>
      <c r="DJ66" s="2525"/>
      <c r="DK66" s="2525"/>
      <c r="DL66" s="2525"/>
      <c r="DM66" s="2525"/>
      <c r="DN66" s="2525"/>
      <c r="DO66" s="2525"/>
      <c r="DP66" s="2525"/>
      <c r="DQ66" s="2525"/>
      <c r="DR66" s="2525"/>
      <c r="DS66" s="2525"/>
      <c r="DT66" s="2525"/>
      <c r="DU66" s="2525"/>
      <c r="DV66" s="2525"/>
      <c r="DW66" s="2525"/>
      <c r="DX66" s="2525"/>
      <c r="DY66" s="2525"/>
      <c r="DZ66" s="2525"/>
      <c r="EA66" s="2525"/>
      <c r="EB66" s="2525"/>
      <c r="EC66" s="2525"/>
      <c r="ED66" s="2525"/>
      <c r="EE66" s="2525"/>
      <c r="EF66" s="2525"/>
      <c r="EG66" s="2525"/>
      <c r="EH66" s="2525"/>
      <c r="EI66" s="2525"/>
      <c r="EJ66" s="2525"/>
      <c r="EK66" s="2525"/>
      <c r="EL66" s="2525"/>
      <c r="EM66" s="2525"/>
      <c r="EN66" s="2525"/>
      <c r="EO66" s="2525"/>
      <c r="EP66" s="2525"/>
      <c r="EQ66" s="2525"/>
      <c r="ER66" s="2525"/>
      <c r="ES66" s="2525"/>
      <c r="ET66" s="2525"/>
      <c r="EU66" s="2525"/>
      <c r="EV66" s="2525"/>
      <c r="EW66" s="2525"/>
      <c r="EX66" s="2525"/>
      <c r="EY66" s="2525"/>
      <c r="EZ66" s="2525"/>
      <c r="FA66" s="2525"/>
      <c r="FB66" s="2525"/>
      <c r="FC66" s="2525"/>
      <c r="FD66" s="708"/>
      <c r="FE66" s="708"/>
      <c r="FF66" s="708"/>
      <c r="FG66" s="708"/>
      <c r="FH66" s="708"/>
      <c r="FI66" s="708"/>
      <c r="FJ66" s="708"/>
      <c r="FK66" s="708"/>
      <c r="FL66" s="708"/>
      <c r="FM66" s="708"/>
      <c r="FN66" s="708"/>
      <c r="FO66" s="708"/>
      <c r="FP66" s="708"/>
      <c r="FQ66" s="708"/>
      <c r="FR66" s="708"/>
      <c r="FS66" s="708"/>
      <c r="FT66" s="708"/>
      <c r="FU66" s="708"/>
      <c r="FV66" s="708"/>
      <c r="FW66" s="708"/>
      <c r="FX66" s="708"/>
      <c r="FY66" s="708"/>
      <c r="FZ66" s="708"/>
      <c r="GA66" s="708"/>
      <c r="GB66" s="708"/>
      <c r="GC66" s="708"/>
      <c r="GD66" s="708"/>
      <c r="GE66" s="708"/>
      <c r="GF66" s="708"/>
      <c r="GG66" s="708"/>
      <c r="GH66" s="708"/>
      <c r="GI66" s="708"/>
      <c r="GJ66" s="708"/>
      <c r="GK66" s="708"/>
      <c r="GL66" s="708"/>
      <c r="GM66" s="708"/>
      <c r="GN66" s="708"/>
      <c r="GO66" s="708"/>
      <c r="GP66" s="708"/>
      <c r="GQ66" s="708"/>
      <c r="GR66" s="708"/>
      <c r="GS66" s="708"/>
      <c r="GT66" s="708"/>
      <c r="GU66" s="708"/>
      <c r="GV66" s="708"/>
      <c r="GW66" s="708"/>
      <c r="GX66" s="708"/>
      <c r="GY66" s="708"/>
      <c r="GZ66" s="708"/>
      <c r="HA66" s="708"/>
      <c r="HB66" s="708"/>
      <c r="HC66" s="708"/>
      <c r="HD66" s="708"/>
      <c r="HE66" s="708"/>
      <c r="HF66" s="708"/>
      <c r="HG66" s="708"/>
      <c r="HH66" s="708"/>
      <c r="HI66" s="708"/>
      <c r="HJ66" s="708"/>
      <c r="HK66" s="708"/>
      <c r="HL66" s="708"/>
      <c r="HM66" s="708"/>
      <c r="HN66" s="708"/>
      <c r="HO66" s="708"/>
      <c r="HP66" s="708"/>
      <c r="HQ66" s="708"/>
      <c r="HR66" s="708"/>
      <c r="HS66" s="708"/>
      <c r="HT66" s="708"/>
      <c r="HU66" s="708"/>
      <c r="HV66" s="708"/>
      <c r="HW66" s="708"/>
      <c r="HX66" s="708"/>
      <c r="HY66" s="708"/>
      <c r="HZ66" s="708"/>
      <c r="IA66" s="708"/>
      <c r="IB66" s="708"/>
      <c r="IC66" s="708"/>
      <c r="ID66" s="708"/>
      <c r="IE66" s="708"/>
      <c r="IF66" s="708"/>
      <c r="IG66" s="708"/>
      <c r="IH66" s="708"/>
      <c r="II66" s="708"/>
      <c r="IJ66" s="708"/>
      <c r="IK66" s="708"/>
      <c r="IL66" s="708"/>
      <c r="IM66" s="708"/>
      <c r="IN66" s="708"/>
      <c r="IO66" s="708"/>
      <c r="IP66" s="708"/>
      <c r="IQ66" s="708"/>
      <c r="IR66" s="708"/>
      <c r="IS66" s="708"/>
      <c r="IT66" s="708"/>
      <c r="IU66" s="708"/>
      <c r="IV66" s="708"/>
      <c r="IW66" s="708"/>
      <c r="IX66" s="708"/>
      <c r="IY66" s="708"/>
      <c r="IZ66" s="708"/>
      <c r="JA66" s="708"/>
      <c r="JB66" s="2525"/>
      <c r="JC66" s="2525"/>
      <c r="JD66" s="2525"/>
      <c r="JE66" s="2525"/>
      <c r="JF66" s="2525"/>
      <c r="JG66" s="2525"/>
      <c r="JH66" s="2525"/>
      <c r="JI66" s="2525"/>
      <c r="JJ66" s="2525"/>
      <c r="JK66" s="2525"/>
      <c r="JL66" s="2525"/>
      <c r="JM66" s="2525"/>
      <c r="JN66" s="2525"/>
      <c r="JO66" s="2525"/>
      <c r="JP66" s="2525"/>
      <c r="JQ66" s="2525"/>
      <c r="JS66" s="2525"/>
      <c r="JT66" s="2525"/>
      <c r="JU66" s="2525"/>
      <c r="JV66" s="2525"/>
      <c r="JW66" s="2525"/>
      <c r="JX66" s="2525"/>
      <c r="JY66" s="2525"/>
      <c r="JZ66" s="2525"/>
      <c r="KA66" s="708"/>
      <c r="KB66" s="708"/>
      <c r="KC66" s="708"/>
      <c r="KD66" s="708"/>
      <c r="KE66" s="708"/>
      <c r="KF66" s="708"/>
      <c r="KG66" s="708"/>
      <c r="KH66" s="708"/>
      <c r="KI66" s="708"/>
      <c r="KJ66" s="421"/>
      <c r="KK66" s="421"/>
      <c r="KL66" s="708"/>
      <c r="KM66" s="708"/>
      <c r="KN66" s="2525"/>
      <c r="KO66" s="2525"/>
      <c r="KP66" s="2525"/>
      <c r="KQ66" s="2525"/>
      <c r="KR66" s="2525"/>
      <c r="KS66" s="2525"/>
      <c r="KT66" s="2525"/>
      <c r="KU66" s="2525"/>
      <c r="KV66" s="2525"/>
      <c r="KW66" s="2525"/>
      <c r="KX66" s="2525"/>
      <c r="KY66" s="2525"/>
      <c r="KZ66" s="2525"/>
      <c r="LA66" s="2525"/>
      <c r="LB66" s="2525"/>
      <c r="LC66" s="2525"/>
      <c r="LD66" s="2525"/>
      <c r="LE66" s="2525"/>
      <c r="LF66" s="2525"/>
      <c r="LG66" s="2525"/>
      <c r="LH66" s="2525"/>
      <c r="LI66" s="2525"/>
      <c r="LJ66" s="2525"/>
      <c r="LK66" s="2525"/>
      <c r="LL66" s="2525"/>
      <c r="LM66" s="2525"/>
      <c r="LN66" s="2525"/>
      <c r="LO66" s="2525"/>
      <c r="LP66" s="2525"/>
      <c r="LQ66" s="2525"/>
      <c r="LR66" s="2525"/>
    </row>
    <row r="67" spans="1:330">
      <c r="A67" s="2525"/>
      <c r="B67" s="2525"/>
      <c r="C67" s="2525"/>
      <c r="D67" s="2525"/>
      <c r="E67" s="2525"/>
      <c r="F67" s="2525"/>
      <c r="G67" s="2525"/>
      <c r="H67" s="2525"/>
      <c r="I67" s="2525"/>
      <c r="J67" s="2525"/>
      <c r="K67" s="2525"/>
      <c r="L67" s="2525"/>
      <c r="M67" s="2525"/>
      <c r="N67" s="2525"/>
      <c r="O67" s="2525"/>
      <c r="P67" s="2525"/>
      <c r="Q67" s="2525"/>
      <c r="R67" s="2525"/>
      <c r="S67" s="2525"/>
      <c r="T67" s="2525"/>
      <c r="U67" s="2525"/>
      <c r="V67" s="2525"/>
      <c r="W67" s="2525"/>
      <c r="X67" s="2525"/>
      <c r="Y67" s="2525"/>
      <c r="Z67" s="2525"/>
      <c r="AA67" s="2525"/>
      <c r="AB67" s="2525"/>
      <c r="AC67" s="2525"/>
      <c r="AD67" s="2525"/>
      <c r="AE67" s="2525"/>
      <c r="AF67" s="2525"/>
      <c r="AG67" s="2525"/>
      <c r="AH67" s="2525"/>
      <c r="AI67" s="2525"/>
      <c r="AJ67" s="2525"/>
      <c r="AK67" s="2525"/>
      <c r="AL67" s="2525"/>
      <c r="AM67" s="2525"/>
      <c r="AN67" s="2525"/>
      <c r="AO67" s="2525"/>
      <c r="AP67" s="2525"/>
      <c r="AQ67" s="2525"/>
      <c r="AR67" s="2525"/>
      <c r="AS67" s="2525"/>
      <c r="AT67" s="2525"/>
      <c r="AU67" s="2525"/>
      <c r="AV67" s="2525"/>
      <c r="AW67" s="2525"/>
      <c r="AX67" s="2525"/>
      <c r="AY67" s="2525"/>
      <c r="AZ67" s="2525"/>
      <c r="BA67" s="2525"/>
      <c r="BB67" s="2525"/>
      <c r="BC67" s="2525"/>
      <c r="BD67" s="2525"/>
      <c r="BE67" s="2525"/>
      <c r="BF67" s="2525"/>
      <c r="BG67" s="2525"/>
      <c r="BH67" s="2525"/>
      <c r="BI67" s="2525"/>
      <c r="BJ67" s="2525"/>
      <c r="BK67" s="2525"/>
      <c r="BL67" s="2525"/>
      <c r="BM67" s="2525"/>
      <c r="BN67" s="2525"/>
      <c r="BO67" s="2525"/>
      <c r="BP67" s="2525"/>
      <c r="BQ67" s="2525"/>
      <c r="BR67" s="2525"/>
      <c r="BS67" s="2525"/>
      <c r="BT67" s="2525"/>
      <c r="BU67" s="2525"/>
      <c r="BV67" s="2525"/>
      <c r="BW67" s="2525"/>
      <c r="BX67" s="2525"/>
      <c r="BY67" s="2525"/>
      <c r="BZ67" s="2525"/>
      <c r="CA67" s="2525"/>
      <c r="CB67" s="2525"/>
      <c r="CC67" s="2525"/>
      <c r="CD67" s="2525"/>
      <c r="CE67" s="2525"/>
      <c r="CF67" s="2525"/>
      <c r="CG67" s="2525"/>
      <c r="CH67" s="2525"/>
      <c r="CI67" s="2525"/>
      <c r="CJ67" s="2525"/>
      <c r="CK67" s="2525"/>
      <c r="CL67" s="2525"/>
      <c r="CM67" s="2525"/>
      <c r="CN67" s="2525"/>
      <c r="CO67" s="2525"/>
      <c r="CP67" s="2525"/>
      <c r="CQ67" s="2525"/>
      <c r="CR67" s="2525"/>
      <c r="CS67" s="2525"/>
      <c r="CT67" s="2525"/>
      <c r="CU67" s="2525"/>
      <c r="CV67" s="2525"/>
      <c r="CW67" s="2525"/>
      <c r="CX67" s="2525"/>
      <c r="CY67" s="2525"/>
      <c r="CZ67" s="2525"/>
      <c r="DA67" s="2525"/>
      <c r="DB67" s="2525"/>
      <c r="DC67" s="2525"/>
      <c r="DD67" s="2525"/>
      <c r="DE67" s="2525"/>
      <c r="DF67" s="2525"/>
      <c r="DG67" s="2525"/>
      <c r="DH67" s="2525"/>
      <c r="DI67" s="2525"/>
      <c r="DJ67" s="2525"/>
      <c r="DK67" s="2525"/>
      <c r="DL67" s="2525"/>
      <c r="DM67" s="2525"/>
      <c r="DN67" s="2525"/>
      <c r="DO67" s="2525"/>
      <c r="DP67" s="2525"/>
      <c r="DQ67" s="2525"/>
      <c r="DR67" s="2525"/>
      <c r="DS67" s="2525"/>
      <c r="DT67" s="2525"/>
      <c r="DU67" s="2525"/>
      <c r="DV67" s="2525"/>
      <c r="DW67" s="2525"/>
      <c r="DX67" s="2525"/>
      <c r="DY67" s="2525"/>
      <c r="DZ67" s="2525"/>
      <c r="EA67" s="2525"/>
      <c r="EB67" s="2525"/>
      <c r="EC67" s="2525"/>
      <c r="ED67" s="2525"/>
      <c r="EE67" s="2525"/>
      <c r="EF67" s="2525"/>
      <c r="EG67" s="2525"/>
      <c r="EH67" s="2525"/>
      <c r="EI67" s="2525"/>
      <c r="EJ67" s="2525"/>
      <c r="EK67" s="2525"/>
      <c r="EL67" s="2525"/>
      <c r="EM67" s="2525"/>
      <c r="EN67" s="2525"/>
      <c r="EO67" s="2525"/>
      <c r="EP67" s="2525"/>
      <c r="EQ67" s="2525"/>
      <c r="ER67" s="2525"/>
      <c r="ES67" s="2525"/>
      <c r="ET67" s="2525"/>
      <c r="EU67" s="2525"/>
      <c r="EV67" s="2525"/>
      <c r="EW67" s="2525"/>
      <c r="EX67" s="2525"/>
      <c r="EY67" s="2525"/>
      <c r="EZ67" s="2525"/>
      <c r="FA67" s="2525"/>
      <c r="FB67" s="2525"/>
      <c r="FC67" s="2525"/>
      <c r="FD67" s="708"/>
      <c r="FE67" s="708"/>
      <c r="FF67" s="708"/>
      <c r="FG67" s="708"/>
      <c r="FH67" s="708"/>
      <c r="FI67" s="708"/>
      <c r="FJ67" s="708"/>
      <c r="FK67" s="708"/>
      <c r="FL67" s="708"/>
      <c r="FM67" s="708"/>
      <c r="FN67" s="708"/>
      <c r="FO67" s="708"/>
      <c r="FP67" s="708"/>
      <c r="FQ67" s="708"/>
      <c r="FR67" s="708"/>
      <c r="FS67" s="708"/>
      <c r="FT67" s="708"/>
      <c r="FU67" s="708"/>
      <c r="FV67" s="708"/>
      <c r="FW67" s="708"/>
      <c r="FX67" s="708"/>
      <c r="FY67" s="708"/>
      <c r="FZ67" s="708"/>
      <c r="GA67" s="708"/>
      <c r="GB67" s="708"/>
      <c r="GC67" s="708"/>
      <c r="GD67" s="708"/>
      <c r="GE67" s="708"/>
      <c r="GF67" s="708"/>
      <c r="GG67" s="708"/>
      <c r="GH67" s="708"/>
      <c r="GI67" s="708"/>
      <c r="GJ67" s="708"/>
      <c r="GK67" s="708"/>
      <c r="GL67" s="708"/>
      <c r="GM67" s="708"/>
      <c r="GN67" s="708"/>
      <c r="GO67" s="708"/>
      <c r="GP67" s="708"/>
      <c r="GQ67" s="708"/>
      <c r="GR67" s="708"/>
      <c r="GS67" s="708"/>
      <c r="GT67" s="708"/>
      <c r="GU67" s="708"/>
      <c r="GV67" s="708"/>
      <c r="GW67" s="708"/>
      <c r="GX67" s="708"/>
      <c r="GY67" s="708"/>
      <c r="GZ67" s="708"/>
      <c r="HA67" s="708"/>
      <c r="HB67" s="708"/>
      <c r="HC67" s="708"/>
      <c r="HD67" s="708"/>
      <c r="HE67" s="708"/>
      <c r="HF67" s="708"/>
      <c r="HG67" s="708"/>
      <c r="HH67" s="708"/>
      <c r="HI67" s="708"/>
      <c r="HJ67" s="708"/>
      <c r="HK67" s="708"/>
      <c r="HL67" s="708"/>
      <c r="HM67" s="708"/>
      <c r="HN67" s="708"/>
      <c r="HO67" s="708"/>
      <c r="HP67" s="708"/>
      <c r="HQ67" s="708"/>
      <c r="HR67" s="708"/>
      <c r="HS67" s="708"/>
      <c r="HT67" s="708"/>
      <c r="HU67" s="708"/>
      <c r="HV67" s="708"/>
      <c r="HW67" s="708"/>
      <c r="HX67" s="708"/>
      <c r="HY67" s="708"/>
      <c r="HZ67" s="708"/>
      <c r="IA67" s="708"/>
      <c r="IB67" s="708"/>
      <c r="IC67" s="708"/>
      <c r="ID67" s="708"/>
      <c r="IE67" s="708"/>
      <c r="IF67" s="708"/>
      <c r="IG67" s="708"/>
      <c r="IH67" s="708"/>
      <c r="II67" s="708"/>
      <c r="IJ67" s="708"/>
      <c r="IK67" s="708"/>
      <c r="IL67" s="708"/>
      <c r="IM67" s="708"/>
      <c r="IN67" s="708"/>
      <c r="IO67" s="708"/>
      <c r="IP67" s="708"/>
      <c r="IQ67" s="708"/>
      <c r="IR67" s="708"/>
      <c r="IS67" s="708"/>
      <c r="IT67" s="708"/>
      <c r="IU67" s="708"/>
      <c r="IV67" s="708"/>
      <c r="IW67" s="708"/>
      <c r="IX67" s="708"/>
      <c r="IY67" s="708"/>
      <c r="IZ67" s="708"/>
      <c r="JA67" s="708"/>
      <c r="JB67" s="2525"/>
      <c r="JC67" s="2525"/>
      <c r="JD67" s="2525"/>
      <c r="JE67" s="2525"/>
      <c r="JF67" s="2525"/>
      <c r="JG67" s="2525"/>
      <c r="JH67" s="2525"/>
      <c r="JI67" s="2525"/>
      <c r="JJ67" s="2525"/>
      <c r="JK67" s="2525"/>
      <c r="JL67" s="2525"/>
      <c r="JM67" s="2525"/>
      <c r="JN67" s="2525"/>
      <c r="JO67" s="2525"/>
      <c r="JP67" s="2525"/>
      <c r="JQ67" s="2525"/>
      <c r="JS67" s="2525"/>
      <c r="JT67" s="2525"/>
      <c r="JU67" s="2525"/>
      <c r="JV67" s="2525"/>
      <c r="JW67" s="2525"/>
      <c r="JX67" s="2525"/>
      <c r="JY67" s="2525"/>
      <c r="JZ67" s="2525"/>
      <c r="KA67" s="708"/>
      <c r="KB67" s="708"/>
      <c r="KC67" s="708"/>
      <c r="KD67" s="708"/>
      <c r="KE67" s="708"/>
      <c r="KF67" s="708"/>
      <c r="KG67" s="708"/>
      <c r="KH67" s="708"/>
      <c r="KI67" s="708"/>
      <c r="KJ67" s="421"/>
      <c r="KK67" s="421"/>
      <c r="KL67" s="708"/>
      <c r="KM67" s="708"/>
      <c r="KN67" s="2525"/>
      <c r="KO67" s="2525"/>
      <c r="KP67" s="2525"/>
      <c r="KQ67" s="2525"/>
      <c r="KR67" s="2525"/>
      <c r="KS67" s="2525"/>
      <c r="KT67" s="2525"/>
      <c r="KU67" s="2525"/>
      <c r="KV67" s="2525"/>
      <c r="KW67" s="2525"/>
      <c r="KX67" s="2525"/>
      <c r="KY67" s="2525"/>
      <c r="KZ67" s="2525"/>
      <c r="LA67" s="2525"/>
      <c r="LB67" s="2525"/>
      <c r="LC67" s="2525"/>
      <c r="LD67" s="2525"/>
      <c r="LE67" s="2525"/>
      <c r="LF67" s="2525"/>
      <c r="LG67" s="2525"/>
      <c r="LH67" s="2525"/>
      <c r="LI67" s="2525"/>
      <c r="LJ67" s="2525"/>
      <c r="LK67" s="2525"/>
      <c r="LL67" s="2525"/>
      <c r="LM67" s="2525"/>
      <c r="LN67" s="2525"/>
      <c r="LO67" s="2525"/>
      <c r="LP67" s="2525"/>
      <c r="LQ67" s="2525"/>
      <c r="LR67" s="2525"/>
    </row>
    <row r="68" spans="1:330">
      <c r="A68" s="2525"/>
      <c r="B68" s="2525"/>
      <c r="C68" s="2525"/>
      <c r="D68" s="2525"/>
      <c r="E68" s="2525"/>
      <c r="F68" s="2525"/>
      <c r="G68" s="2525"/>
      <c r="H68" s="2525"/>
      <c r="I68" s="2525"/>
      <c r="J68" s="2525"/>
      <c r="K68" s="2525"/>
      <c r="L68" s="2525"/>
      <c r="M68" s="2525"/>
      <c r="N68" s="2525"/>
      <c r="O68" s="2525"/>
      <c r="P68" s="2525"/>
      <c r="Q68" s="2525"/>
      <c r="R68" s="2525"/>
      <c r="S68" s="2525"/>
      <c r="T68" s="2525"/>
      <c r="U68" s="2525"/>
      <c r="V68" s="2525"/>
      <c r="W68" s="2525"/>
      <c r="X68" s="2525"/>
      <c r="Y68" s="2525"/>
      <c r="Z68" s="2525"/>
      <c r="AA68" s="2525"/>
      <c r="AB68" s="2525"/>
      <c r="AC68" s="2525"/>
      <c r="AD68" s="2525"/>
      <c r="AE68" s="2525"/>
      <c r="AF68" s="2525"/>
      <c r="AG68" s="2525"/>
      <c r="AH68" s="2525"/>
      <c r="AI68" s="2525"/>
      <c r="AJ68" s="2525"/>
      <c r="AK68" s="2525"/>
      <c r="AL68" s="2525"/>
      <c r="AM68" s="2525"/>
      <c r="AN68" s="2525"/>
      <c r="AO68" s="2525"/>
      <c r="AP68" s="2525"/>
      <c r="AQ68" s="2525"/>
      <c r="AR68" s="2525"/>
      <c r="AS68" s="2525"/>
      <c r="AT68" s="2525"/>
      <c r="AU68" s="2525"/>
      <c r="AV68" s="2525"/>
      <c r="AW68" s="2525"/>
      <c r="AX68" s="2525"/>
      <c r="AY68" s="2525"/>
      <c r="AZ68" s="2525"/>
      <c r="BA68" s="2525"/>
      <c r="BB68" s="2525"/>
      <c r="BC68" s="2525"/>
      <c r="BD68" s="2525"/>
      <c r="BE68" s="2525"/>
      <c r="BF68" s="2525"/>
      <c r="BG68" s="2525"/>
      <c r="BH68" s="2525"/>
      <c r="BI68" s="2525"/>
      <c r="BJ68" s="2525"/>
      <c r="BK68" s="2525"/>
      <c r="BL68" s="2525"/>
      <c r="BM68" s="2525"/>
      <c r="BN68" s="2525"/>
      <c r="BO68" s="2525"/>
      <c r="BP68" s="2525"/>
      <c r="BQ68" s="2525"/>
      <c r="BR68" s="2525"/>
      <c r="BS68" s="2525"/>
      <c r="BT68" s="2525"/>
      <c r="BU68" s="2525"/>
      <c r="BV68" s="2525"/>
      <c r="BW68" s="2525"/>
      <c r="BX68" s="2525"/>
      <c r="BY68" s="2525"/>
      <c r="BZ68" s="2525"/>
      <c r="CA68" s="2525"/>
      <c r="CB68" s="2525"/>
      <c r="CC68" s="2525"/>
      <c r="CD68" s="2525"/>
      <c r="CE68" s="2525"/>
      <c r="CF68" s="2525"/>
      <c r="CG68" s="2525"/>
      <c r="CH68" s="2525"/>
      <c r="CI68" s="2525"/>
      <c r="CJ68" s="2525"/>
      <c r="CK68" s="2525"/>
      <c r="CL68" s="2525"/>
      <c r="CM68" s="2525"/>
      <c r="CN68" s="2525"/>
      <c r="CO68" s="2525"/>
      <c r="CP68" s="2525"/>
      <c r="CQ68" s="2525"/>
      <c r="CR68" s="2525"/>
      <c r="CS68" s="2525"/>
      <c r="CT68" s="2525"/>
      <c r="CU68" s="2525"/>
      <c r="CV68" s="2525"/>
      <c r="CW68" s="2525"/>
      <c r="CX68" s="2525"/>
      <c r="CY68" s="2525"/>
      <c r="CZ68" s="2525"/>
      <c r="DA68" s="2525"/>
      <c r="DB68" s="2525"/>
      <c r="DC68" s="2525"/>
      <c r="DD68" s="2525"/>
      <c r="DE68" s="2525"/>
      <c r="DF68" s="2525"/>
      <c r="DG68" s="2525"/>
      <c r="DH68" s="2525"/>
      <c r="DI68" s="2525"/>
      <c r="DJ68" s="2525"/>
      <c r="DK68" s="2525"/>
      <c r="DL68" s="2525"/>
      <c r="DM68" s="2525"/>
      <c r="DN68" s="2525"/>
      <c r="DO68" s="2525"/>
      <c r="DP68" s="2525"/>
      <c r="DQ68" s="2525"/>
      <c r="DR68" s="2525"/>
      <c r="DS68" s="2525"/>
      <c r="DT68" s="2525"/>
      <c r="DU68" s="2525"/>
      <c r="DV68" s="2525"/>
      <c r="DW68" s="2525"/>
      <c r="DX68" s="2525"/>
      <c r="DY68" s="2525"/>
      <c r="DZ68" s="2525"/>
      <c r="EA68" s="2525"/>
      <c r="EB68" s="2525"/>
      <c r="EC68" s="2525"/>
      <c r="ED68" s="2525"/>
      <c r="EE68" s="2525"/>
      <c r="EF68" s="2525"/>
      <c r="EG68" s="2525"/>
      <c r="EH68" s="2525"/>
      <c r="EI68" s="2525"/>
      <c r="EJ68" s="2525"/>
      <c r="EK68" s="2525"/>
      <c r="EL68" s="2525"/>
      <c r="EM68" s="2525"/>
      <c r="EN68" s="2525"/>
      <c r="EO68" s="2525"/>
      <c r="EP68" s="2525"/>
      <c r="EQ68" s="2525"/>
      <c r="ER68" s="2525"/>
      <c r="ES68" s="2525"/>
      <c r="ET68" s="2525"/>
      <c r="EU68" s="2525"/>
      <c r="EV68" s="2525"/>
      <c r="EW68" s="2525"/>
      <c r="EX68" s="2525"/>
      <c r="EY68" s="2525"/>
      <c r="EZ68" s="2525"/>
      <c r="FA68" s="2525"/>
      <c r="FB68" s="2525"/>
      <c r="FC68" s="2525"/>
      <c r="FD68" s="708"/>
      <c r="FE68" s="708"/>
      <c r="FF68" s="708"/>
      <c r="FG68" s="708"/>
      <c r="FH68" s="708"/>
      <c r="FI68" s="708"/>
      <c r="FJ68" s="708"/>
      <c r="FK68" s="708"/>
      <c r="FL68" s="708"/>
      <c r="FM68" s="708"/>
      <c r="FN68" s="708"/>
      <c r="FO68" s="708"/>
      <c r="FP68" s="708"/>
      <c r="FQ68" s="708"/>
      <c r="FR68" s="708"/>
      <c r="FS68" s="708"/>
      <c r="FT68" s="708"/>
      <c r="FU68" s="708"/>
      <c r="FV68" s="708"/>
      <c r="FW68" s="708"/>
      <c r="FX68" s="708"/>
      <c r="FY68" s="708"/>
      <c r="FZ68" s="708"/>
      <c r="GA68" s="708"/>
      <c r="GB68" s="708"/>
      <c r="GC68" s="708"/>
      <c r="GD68" s="708"/>
      <c r="GE68" s="708"/>
      <c r="GF68" s="708"/>
      <c r="GG68" s="708"/>
      <c r="GH68" s="708"/>
      <c r="GI68" s="708"/>
      <c r="GJ68" s="708"/>
      <c r="GK68" s="708"/>
      <c r="GL68" s="708"/>
      <c r="GM68" s="708"/>
      <c r="GN68" s="708"/>
      <c r="GO68" s="708"/>
      <c r="GP68" s="708"/>
      <c r="GQ68" s="708"/>
      <c r="GR68" s="708"/>
      <c r="GS68" s="708"/>
      <c r="GT68" s="708"/>
      <c r="GU68" s="708"/>
      <c r="GV68" s="708"/>
      <c r="GW68" s="708"/>
      <c r="GX68" s="708"/>
      <c r="GY68" s="708"/>
      <c r="GZ68" s="708"/>
      <c r="HA68" s="708"/>
      <c r="HB68" s="708"/>
      <c r="HC68" s="708"/>
      <c r="HD68" s="708"/>
      <c r="HE68" s="708"/>
      <c r="HF68" s="708"/>
      <c r="HG68" s="708"/>
      <c r="HH68" s="708"/>
      <c r="HI68" s="708"/>
      <c r="HJ68" s="708"/>
      <c r="HK68" s="708"/>
      <c r="HL68" s="708"/>
      <c r="HM68" s="708"/>
      <c r="HN68" s="708"/>
      <c r="HO68" s="708"/>
      <c r="HP68" s="708"/>
      <c r="HQ68" s="708"/>
      <c r="HR68" s="708"/>
      <c r="HS68" s="708"/>
      <c r="HT68" s="708"/>
      <c r="HU68" s="708"/>
      <c r="HV68" s="708"/>
      <c r="HW68" s="708"/>
      <c r="HX68" s="708"/>
      <c r="HY68" s="708"/>
      <c r="HZ68" s="708"/>
      <c r="IA68" s="708"/>
      <c r="IB68" s="708"/>
      <c r="IC68" s="708"/>
      <c r="ID68" s="708"/>
      <c r="IE68" s="708"/>
      <c r="IF68" s="708"/>
      <c r="IG68" s="708"/>
      <c r="IH68" s="708"/>
      <c r="II68" s="708"/>
      <c r="IJ68" s="708"/>
      <c r="IK68" s="708"/>
      <c r="IL68" s="708"/>
      <c r="IM68" s="708"/>
      <c r="IN68" s="708"/>
      <c r="IO68" s="708"/>
      <c r="IP68" s="708"/>
      <c r="IQ68" s="708"/>
      <c r="IR68" s="708"/>
      <c r="IS68" s="708"/>
      <c r="IT68" s="708"/>
      <c r="IU68" s="708"/>
      <c r="IV68" s="708"/>
      <c r="IW68" s="708"/>
      <c r="IX68" s="708"/>
      <c r="IY68" s="708"/>
      <c r="IZ68" s="708"/>
      <c r="JA68" s="708"/>
      <c r="JB68" s="2525"/>
      <c r="JC68" s="2525"/>
      <c r="JD68" s="2525"/>
      <c r="JE68" s="2525"/>
      <c r="JF68" s="2525"/>
      <c r="JG68" s="2525"/>
      <c r="JH68" s="2525"/>
      <c r="JI68" s="2525"/>
      <c r="JJ68" s="2525"/>
      <c r="JK68" s="2525"/>
      <c r="JL68" s="2525"/>
      <c r="JM68" s="2525"/>
      <c r="JN68" s="2525"/>
      <c r="JO68" s="2525"/>
      <c r="JP68" s="2525"/>
      <c r="JQ68" s="2525"/>
      <c r="JS68" s="2525"/>
      <c r="JT68" s="2525"/>
      <c r="JU68" s="2525"/>
      <c r="JV68" s="2525"/>
      <c r="JW68" s="2525"/>
      <c r="JX68" s="2525"/>
      <c r="JY68" s="2525"/>
      <c r="JZ68" s="2525"/>
      <c r="KA68" s="708"/>
      <c r="KB68" s="708"/>
      <c r="KC68" s="708"/>
      <c r="KD68" s="708"/>
      <c r="KE68" s="708"/>
      <c r="KF68" s="708"/>
      <c r="KG68" s="708"/>
      <c r="KH68" s="708"/>
      <c r="KI68" s="708"/>
      <c r="KJ68" s="421"/>
      <c r="KK68" s="421"/>
      <c r="KL68" s="708"/>
      <c r="KM68" s="708"/>
      <c r="KN68" s="2525"/>
      <c r="KO68" s="2525"/>
      <c r="KP68" s="2525"/>
      <c r="KQ68" s="2525"/>
      <c r="KR68" s="2525"/>
      <c r="KS68" s="2525"/>
      <c r="KT68" s="2525"/>
      <c r="KU68" s="2525"/>
      <c r="KV68" s="2525"/>
      <c r="KW68" s="2525"/>
      <c r="KX68" s="2525"/>
      <c r="KY68" s="2525"/>
      <c r="KZ68" s="2525"/>
      <c r="LA68" s="2525"/>
      <c r="LB68" s="2525"/>
      <c r="LC68" s="2525"/>
      <c r="LD68" s="2525"/>
      <c r="LE68" s="2525"/>
      <c r="LF68" s="2525"/>
      <c r="LG68" s="2525"/>
      <c r="LH68" s="2525"/>
      <c r="LI68" s="2525"/>
      <c r="LJ68" s="2525"/>
      <c r="LK68" s="2525"/>
      <c r="LL68" s="2525"/>
      <c r="LM68" s="2525"/>
      <c r="LN68" s="2525"/>
      <c r="LO68" s="2525"/>
      <c r="LP68" s="2525"/>
      <c r="LQ68" s="2525"/>
      <c r="LR68" s="2525"/>
    </row>
    <row r="69" spans="1:330">
      <c r="A69" s="2525"/>
      <c r="B69" s="2525"/>
      <c r="C69" s="2525"/>
      <c r="D69" s="2525"/>
      <c r="E69" s="2525"/>
      <c r="F69" s="2525"/>
      <c r="G69" s="2525"/>
      <c r="H69" s="2525"/>
      <c r="I69" s="2525"/>
      <c r="J69" s="2525"/>
      <c r="K69" s="2525"/>
      <c r="L69" s="2525"/>
      <c r="M69" s="2525"/>
      <c r="N69" s="2525"/>
      <c r="O69" s="2525"/>
      <c r="P69" s="2525"/>
      <c r="Q69" s="2525"/>
      <c r="R69" s="2525"/>
      <c r="S69" s="2525"/>
      <c r="T69" s="2525"/>
      <c r="U69" s="2525"/>
      <c r="V69" s="2525"/>
      <c r="W69" s="2525"/>
      <c r="X69" s="2525"/>
      <c r="Y69" s="2525"/>
      <c r="Z69" s="2525"/>
      <c r="AA69" s="2525"/>
      <c r="AB69" s="2525"/>
      <c r="AC69" s="2525"/>
      <c r="AD69" s="2525"/>
      <c r="AE69" s="2525"/>
      <c r="AF69" s="2525"/>
      <c r="AG69" s="2525"/>
      <c r="AH69" s="2525"/>
      <c r="AI69" s="2525"/>
      <c r="AJ69" s="2525"/>
      <c r="AK69" s="2525"/>
      <c r="AL69" s="2525"/>
      <c r="AM69" s="2525"/>
      <c r="AN69" s="2525"/>
      <c r="AO69" s="2525"/>
      <c r="AP69" s="2525"/>
      <c r="AQ69" s="2525"/>
      <c r="AR69" s="2525"/>
      <c r="AS69" s="2525"/>
      <c r="AT69" s="2525"/>
      <c r="AU69" s="2525"/>
      <c r="AV69" s="2525"/>
      <c r="AW69" s="2525"/>
      <c r="AX69" s="2525"/>
      <c r="AY69" s="2525"/>
      <c r="AZ69" s="2525"/>
      <c r="BA69" s="2525"/>
      <c r="BB69" s="2525"/>
      <c r="BC69" s="2525"/>
      <c r="BD69" s="2525"/>
      <c r="BE69" s="2525"/>
      <c r="BF69" s="2525"/>
      <c r="BG69" s="2525"/>
      <c r="BH69" s="2525"/>
      <c r="BI69" s="2525"/>
      <c r="BJ69" s="2525"/>
      <c r="BK69" s="2525"/>
      <c r="BL69" s="2525"/>
      <c r="BM69" s="2525"/>
      <c r="BN69" s="2525"/>
      <c r="BO69" s="2525"/>
      <c r="BP69" s="2525"/>
      <c r="BQ69" s="2525"/>
      <c r="BR69" s="2525"/>
      <c r="BS69" s="2525"/>
      <c r="BT69" s="2525"/>
      <c r="BU69" s="2525"/>
      <c r="BV69" s="2525"/>
      <c r="BW69" s="2525"/>
      <c r="BX69" s="2525"/>
      <c r="BY69" s="2525"/>
      <c r="BZ69" s="2525"/>
      <c r="CA69" s="2525"/>
      <c r="CB69" s="2525"/>
      <c r="CC69" s="2525"/>
      <c r="CD69" s="2525"/>
      <c r="CE69" s="2525"/>
      <c r="CF69" s="2525"/>
      <c r="CG69" s="2525"/>
      <c r="CH69" s="2525"/>
      <c r="CI69" s="2525"/>
      <c r="CJ69" s="2525"/>
      <c r="CK69" s="2525"/>
      <c r="CL69" s="2525"/>
      <c r="CM69" s="2525"/>
      <c r="CN69" s="2525"/>
      <c r="CO69" s="2525"/>
      <c r="CP69" s="2525"/>
      <c r="CQ69" s="2525"/>
      <c r="CR69" s="2525"/>
      <c r="CS69" s="2525"/>
      <c r="CT69" s="2525"/>
      <c r="CU69" s="2525"/>
      <c r="CV69" s="2525"/>
      <c r="CW69" s="2525"/>
      <c r="CX69" s="2525"/>
      <c r="CY69" s="2525"/>
      <c r="CZ69" s="2525"/>
      <c r="DA69" s="2525"/>
      <c r="DB69" s="2525"/>
      <c r="DC69" s="2525"/>
      <c r="DD69" s="2525"/>
      <c r="DE69" s="2525"/>
      <c r="DF69" s="2525"/>
      <c r="DG69" s="2525"/>
      <c r="DH69" s="2525"/>
      <c r="DI69" s="2525"/>
      <c r="DJ69" s="2525"/>
      <c r="DK69" s="2525"/>
      <c r="DL69" s="2525"/>
      <c r="DM69" s="2525"/>
      <c r="DN69" s="2525"/>
      <c r="DO69" s="2525"/>
      <c r="DP69" s="2525"/>
      <c r="DQ69" s="2525"/>
      <c r="DR69" s="2525"/>
      <c r="DS69" s="2525"/>
      <c r="DT69" s="2525"/>
      <c r="DU69" s="2525"/>
      <c r="DV69" s="2525"/>
      <c r="DW69" s="2525"/>
      <c r="DX69" s="2525"/>
      <c r="DY69" s="2525"/>
      <c r="DZ69" s="2525"/>
      <c r="EA69" s="2525"/>
      <c r="EB69" s="2525"/>
      <c r="EC69" s="2525"/>
      <c r="ED69" s="2525"/>
      <c r="EE69" s="2525"/>
      <c r="EF69" s="2525"/>
      <c r="EG69" s="2525"/>
      <c r="EH69" s="2525"/>
      <c r="EI69" s="2525"/>
      <c r="EJ69" s="2525"/>
      <c r="EK69" s="2525"/>
      <c r="EL69" s="2525"/>
      <c r="EM69" s="2525"/>
      <c r="EN69" s="2525"/>
      <c r="EO69" s="2525"/>
      <c r="EP69" s="2525"/>
      <c r="EQ69" s="2525"/>
      <c r="ER69" s="2525"/>
      <c r="ES69" s="2525"/>
      <c r="ET69" s="2525"/>
      <c r="EU69" s="2525"/>
      <c r="EV69" s="2525"/>
      <c r="EW69" s="2525"/>
      <c r="EX69" s="2525"/>
      <c r="EY69" s="2525"/>
      <c r="EZ69" s="2525"/>
      <c r="FA69" s="2525"/>
      <c r="FB69" s="2525"/>
      <c r="FC69" s="2525"/>
      <c r="FD69" s="708"/>
      <c r="FE69" s="708"/>
      <c r="FF69" s="708"/>
      <c r="FG69" s="708"/>
      <c r="FH69" s="708"/>
      <c r="FI69" s="708"/>
      <c r="FJ69" s="708"/>
      <c r="FK69" s="708"/>
      <c r="FL69" s="708"/>
      <c r="FM69" s="708"/>
      <c r="FN69" s="708"/>
      <c r="FO69" s="708"/>
      <c r="FP69" s="708"/>
      <c r="FQ69" s="708"/>
      <c r="FR69" s="708"/>
      <c r="FS69" s="708"/>
      <c r="FT69" s="708"/>
      <c r="FU69" s="708"/>
      <c r="FV69" s="708"/>
      <c r="FW69" s="708"/>
      <c r="FX69" s="708"/>
      <c r="FY69" s="708"/>
      <c r="FZ69" s="708"/>
      <c r="GA69" s="708"/>
      <c r="GB69" s="708"/>
      <c r="GC69" s="708"/>
      <c r="GD69" s="708"/>
      <c r="GE69" s="708"/>
      <c r="GF69" s="708"/>
      <c r="GG69" s="708"/>
      <c r="GH69" s="708"/>
      <c r="GI69" s="708"/>
      <c r="GJ69" s="708"/>
      <c r="GK69" s="708"/>
      <c r="GL69" s="708"/>
      <c r="GM69" s="708"/>
      <c r="GN69" s="708"/>
      <c r="GO69" s="708"/>
      <c r="GP69" s="708"/>
      <c r="GQ69" s="708"/>
      <c r="GR69" s="708"/>
      <c r="GS69" s="708"/>
      <c r="GT69" s="708"/>
      <c r="GU69" s="708"/>
      <c r="GV69" s="708"/>
      <c r="GW69" s="708"/>
      <c r="GX69" s="708"/>
      <c r="GY69" s="708"/>
      <c r="GZ69" s="708"/>
      <c r="HA69" s="708"/>
      <c r="HB69" s="708"/>
      <c r="HC69" s="708"/>
      <c r="HD69" s="708"/>
      <c r="HE69" s="708"/>
      <c r="HF69" s="708"/>
      <c r="HG69" s="708"/>
      <c r="HH69" s="708"/>
      <c r="HI69" s="708"/>
      <c r="HJ69" s="708"/>
      <c r="HK69" s="708"/>
      <c r="HL69" s="708"/>
      <c r="HM69" s="708"/>
      <c r="HN69" s="708"/>
      <c r="HO69" s="708"/>
      <c r="HP69" s="708"/>
      <c r="HQ69" s="708"/>
      <c r="HR69" s="708"/>
      <c r="HS69" s="708"/>
      <c r="HT69" s="708"/>
      <c r="HU69" s="708"/>
      <c r="HV69" s="708"/>
      <c r="HW69" s="708"/>
      <c r="HX69" s="708"/>
      <c r="HY69" s="708"/>
      <c r="HZ69" s="708"/>
      <c r="IA69" s="708"/>
      <c r="IB69" s="708"/>
      <c r="IC69" s="708"/>
      <c r="ID69" s="708"/>
      <c r="IE69" s="708"/>
      <c r="IF69" s="708"/>
      <c r="IG69" s="708"/>
      <c r="IH69" s="708"/>
      <c r="II69" s="708"/>
      <c r="IJ69" s="708"/>
      <c r="IK69" s="708"/>
      <c r="IL69" s="708"/>
      <c r="IM69" s="708"/>
      <c r="IN69" s="708"/>
      <c r="IO69" s="708"/>
      <c r="IP69" s="708"/>
      <c r="IQ69" s="708"/>
      <c r="IR69" s="708"/>
      <c r="IS69" s="708"/>
      <c r="IT69" s="708"/>
      <c r="IU69" s="708"/>
      <c r="IV69" s="708"/>
      <c r="IW69" s="708"/>
      <c r="IX69" s="708"/>
      <c r="IY69" s="708"/>
      <c r="IZ69" s="708"/>
      <c r="JA69" s="708"/>
      <c r="JB69" s="2525"/>
      <c r="JC69" s="2525"/>
      <c r="JD69" s="2525"/>
      <c r="JE69" s="2525"/>
      <c r="JF69" s="2525"/>
      <c r="JG69" s="2525"/>
      <c r="JH69" s="2525"/>
      <c r="JI69" s="2525"/>
      <c r="JJ69" s="2525"/>
      <c r="JK69" s="2525"/>
      <c r="JL69" s="2525"/>
      <c r="JM69" s="2525"/>
      <c r="JN69" s="2525"/>
      <c r="JO69" s="2525"/>
      <c r="JP69" s="2525"/>
      <c r="JQ69" s="2525"/>
      <c r="JS69" s="2525"/>
      <c r="JT69" s="2525"/>
      <c r="JU69" s="2525"/>
      <c r="JV69" s="2525"/>
      <c r="JW69" s="2525"/>
      <c r="JX69" s="2525"/>
      <c r="JY69" s="2525"/>
      <c r="JZ69" s="2525"/>
      <c r="KA69" s="708"/>
      <c r="KB69" s="708"/>
      <c r="KC69" s="708"/>
      <c r="KD69" s="708"/>
      <c r="KE69" s="708"/>
      <c r="KF69" s="708"/>
      <c r="KG69" s="708"/>
      <c r="KH69" s="708"/>
      <c r="KI69" s="708"/>
      <c r="KJ69" s="421"/>
      <c r="KK69" s="421"/>
      <c r="KL69" s="708"/>
      <c r="KM69" s="708"/>
      <c r="KN69" s="2525"/>
      <c r="KO69" s="2525"/>
      <c r="KP69" s="2525"/>
      <c r="KQ69" s="2525"/>
      <c r="KR69" s="2525"/>
      <c r="KS69" s="2525"/>
      <c r="KT69" s="2525"/>
      <c r="KU69" s="2525"/>
      <c r="KV69" s="2525"/>
      <c r="KW69" s="2525"/>
      <c r="KX69" s="2525"/>
      <c r="KY69" s="2525"/>
      <c r="KZ69" s="2525"/>
      <c r="LA69" s="2525"/>
      <c r="LB69" s="2525"/>
      <c r="LC69" s="2525"/>
      <c r="LD69" s="2525"/>
      <c r="LE69" s="2525"/>
      <c r="LF69" s="2525"/>
      <c r="LG69" s="2525"/>
      <c r="LH69" s="2525"/>
      <c r="LI69" s="2525"/>
      <c r="LJ69" s="2525"/>
      <c r="LK69" s="2525"/>
      <c r="LL69" s="2525"/>
      <c r="LM69" s="2525"/>
      <c r="LN69" s="2525"/>
      <c r="LO69" s="2525"/>
      <c r="LP69" s="2525"/>
      <c r="LQ69" s="2525"/>
      <c r="LR69" s="2525"/>
    </row>
    <row r="70" spans="1:330">
      <c r="A70" s="2525"/>
      <c r="B70" s="2525"/>
      <c r="C70" s="2525"/>
      <c r="D70" s="2525"/>
      <c r="E70" s="2525"/>
      <c r="F70" s="2525"/>
      <c r="G70" s="2525"/>
      <c r="H70" s="2525"/>
      <c r="I70" s="2525"/>
      <c r="J70" s="2525"/>
      <c r="K70" s="2525"/>
      <c r="L70" s="2525"/>
      <c r="M70" s="2525"/>
      <c r="N70" s="2525"/>
      <c r="O70" s="2525"/>
      <c r="P70" s="2525"/>
      <c r="Q70" s="2525"/>
      <c r="R70" s="2525"/>
      <c r="S70" s="2525"/>
      <c r="T70" s="2525"/>
      <c r="U70" s="2525"/>
      <c r="V70" s="2525"/>
      <c r="W70" s="2525"/>
      <c r="X70" s="2525"/>
      <c r="Y70" s="2525"/>
      <c r="Z70" s="2525"/>
      <c r="AA70" s="2525"/>
      <c r="AB70" s="2525"/>
      <c r="AC70" s="2525"/>
      <c r="AD70" s="2525"/>
      <c r="AE70" s="2525"/>
      <c r="AF70" s="2525"/>
      <c r="AG70" s="2525"/>
      <c r="AH70" s="2525"/>
      <c r="AI70" s="2525"/>
      <c r="AJ70" s="2525"/>
      <c r="AK70" s="2525"/>
      <c r="AL70" s="2525"/>
      <c r="AM70" s="2525"/>
      <c r="AN70" s="2525"/>
      <c r="AO70" s="2525"/>
      <c r="AP70" s="2525"/>
      <c r="AQ70" s="2525"/>
      <c r="AR70" s="2525"/>
      <c r="AS70" s="2525"/>
      <c r="AT70" s="2525"/>
      <c r="AU70" s="2525"/>
      <c r="AV70" s="2525"/>
      <c r="AW70" s="2525"/>
      <c r="AX70" s="2525"/>
      <c r="AY70" s="2525"/>
      <c r="AZ70" s="2525"/>
      <c r="BA70" s="2525"/>
      <c r="BB70" s="2525"/>
      <c r="BC70" s="2525"/>
      <c r="BD70" s="2525"/>
      <c r="BE70" s="2525"/>
      <c r="BF70" s="2525"/>
      <c r="BG70" s="2525"/>
      <c r="BH70" s="2525"/>
      <c r="BI70" s="2525"/>
      <c r="BJ70" s="2525"/>
      <c r="BK70" s="2525"/>
      <c r="BL70" s="2525"/>
      <c r="BM70" s="2525"/>
      <c r="BN70" s="2525"/>
      <c r="BO70" s="2525"/>
      <c r="BP70" s="2525"/>
      <c r="BQ70" s="2525"/>
      <c r="BR70" s="2525"/>
      <c r="BS70" s="2525"/>
      <c r="BT70" s="2525"/>
      <c r="BU70" s="2525"/>
      <c r="BV70" s="2525"/>
      <c r="BW70" s="2525"/>
      <c r="BX70" s="2525"/>
      <c r="BY70" s="2525"/>
      <c r="BZ70" s="2525"/>
      <c r="CA70" s="2525"/>
      <c r="CB70" s="2525"/>
      <c r="CC70" s="2525"/>
      <c r="CD70" s="2525"/>
      <c r="CE70" s="2525"/>
      <c r="CF70" s="2525"/>
      <c r="CG70" s="2525"/>
      <c r="CH70" s="2525"/>
      <c r="CI70" s="2525"/>
      <c r="CJ70" s="2525"/>
      <c r="CK70" s="2525"/>
      <c r="CL70" s="2525"/>
      <c r="CM70" s="2525"/>
      <c r="CN70" s="2525"/>
      <c r="CO70" s="2525"/>
      <c r="CP70" s="2525"/>
      <c r="CQ70" s="2525"/>
      <c r="CR70" s="2525"/>
      <c r="CS70" s="2525"/>
      <c r="CT70" s="2525"/>
      <c r="CU70" s="2525"/>
      <c r="CV70" s="2525"/>
      <c r="CW70" s="2525"/>
      <c r="CX70" s="2525"/>
      <c r="CY70" s="2525"/>
      <c r="CZ70" s="2525"/>
      <c r="DA70" s="2525"/>
      <c r="DB70" s="2525"/>
      <c r="DC70" s="2525"/>
      <c r="DD70" s="2525"/>
      <c r="DE70" s="2525"/>
      <c r="DF70" s="2525"/>
      <c r="DG70" s="2525"/>
      <c r="DH70" s="2525"/>
      <c r="DI70" s="2525"/>
      <c r="DJ70" s="2525"/>
      <c r="DK70" s="2525"/>
      <c r="DL70" s="2525"/>
      <c r="DM70" s="2525"/>
      <c r="DN70" s="2525"/>
      <c r="DO70" s="2525"/>
      <c r="DP70" s="2525"/>
      <c r="DQ70" s="2525"/>
      <c r="DR70" s="2525"/>
      <c r="DS70" s="2525"/>
      <c r="DT70" s="2525"/>
      <c r="DU70" s="2525"/>
      <c r="DV70" s="2525"/>
      <c r="DW70" s="2525"/>
      <c r="DX70" s="2525"/>
      <c r="DY70" s="2525"/>
      <c r="DZ70" s="2525"/>
      <c r="EA70" s="2525"/>
      <c r="EB70" s="2525"/>
      <c r="EC70" s="2525"/>
      <c r="ED70" s="2525"/>
      <c r="EE70" s="2525"/>
      <c r="EF70" s="2525"/>
      <c r="EG70" s="2525"/>
      <c r="EH70" s="2525"/>
      <c r="EI70" s="2525"/>
      <c r="EJ70" s="2525"/>
      <c r="EK70" s="2525"/>
      <c r="EL70" s="2525"/>
      <c r="EM70" s="2525"/>
      <c r="EN70" s="2525"/>
      <c r="EO70" s="2525"/>
      <c r="EP70" s="2525"/>
      <c r="EQ70" s="2525"/>
      <c r="ER70" s="2525"/>
      <c r="ES70" s="2525"/>
      <c r="ET70" s="2525"/>
      <c r="EU70" s="2525"/>
      <c r="EV70" s="2525"/>
      <c r="EW70" s="2525"/>
      <c r="EX70" s="2525"/>
      <c r="EY70" s="2525"/>
      <c r="EZ70" s="2525"/>
      <c r="FA70" s="2525"/>
      <c r="FB70" s="2525"/>
      <c r="FC70" s="2525"/>
      <c r="FD70" s="708"/>
      <c r="FE70" s="708"/>
      <c r="FF70" s="708"/>
      <c r="FG70" s="708"/>
      <c r="FH70" s="708"/>
      <c r="FI70" s="708"/>
      <c r="FJ70" s="708"/>
      <c r="FK70" s="708"/>
      <c r="FL70" s="708"/>
      <c r="FM70" s="708"/>
      <c r="FN70" s="708"/>
      <c r="FO70" s="708"/>
      <c r="FP70" s="708"/>
      <c r="FQ70" s="708"/>
      <c r="FR70" s="708"/>
      <c r="FS70" s="708"/>
      <c r="FT70" s="708"/>
      <c r="FU70" s="708"/>
      <c r="FV70" s="708"/>
      <c r="FW70" s="708"/>
      <c r="FX70" s="708"/>
      <c r="FY70" s="708"/>
      <c r="FZ70" s="708"/>
      <c r="GA70" s="708"/>
      <c r="GB70" s="708"/>
      <c r="GC70" s="708"/>
      <c r="GD70" s="708"/>
      <c r="GE70" s="708"/>
      <c r="GF70" s="708"/>
      <c r="GG70" s="708"/>
      <c r="GH70" s="708"/>
      <c r="GI70" s="708"/>
      <c r="GJ70" s="708"/>
      <c r="GK70" s="708"/>
      <c r="GL70" s="708"/>
      <c r="GM70" s="708"/>
      <c r="GN70" s="708"/>
      <c r="GO70" s="708"/>
      <c r="GP70" s="708"/>
      <c r="GQ70" s="708"/>
      <c r="GR70" s="708"/>
      <c r="GS70" s="708"/>
      <c r="GT70" s="708"/>
      <c r="GU70" s="708"/>
      <c r="GV70" s="708"/>
      <c r="GW70" s="708"/>
      <c r="GX70" s="708"/>
      <c r="GY70" s="708"/>
      <c r="GZ70" s="708"/>
      <c r="HA70" s="708"/>
      <c r="HB70" s="708"/>
      <c r="HC70" s="708"/>
      <c r="HD70" s="708"/>
      <c r="HE70" s="708"/>
      <c r="HF70" s="708"/>
      <c r="HG70" s="708"/>
      <c r="HH70" s="708"/>
      <c r="HI70" s="708"/>
      <c r="HJ70" s="708"/>
      <c r="HK70" s="708"/>
      <c r="HL70" s="708"/>
      <c r="HM70" s="708"/>
      <c r="HN70" s="708"/>
      <c r="HO70" s="708"/>
      <c r="HP70" s="708"/>
      <c r="HQ70" s="708"/>
      <c r="HR70" s="708"/>
      <c r="HS70" s="708"/>
      <c r="HT70" s="708"/>
      <c r="HU70" s="708"/>
      <c r="HV70" s="708"/>
      <c r="HW70" s="708"/>
      <c r="HX70" s="708"/>
      <c r="HY70" s="708"/>
      <c r="HZ70" s="708"/>
      <c r="IA70" s="708"/>
      <c r="IB70" s="708"/>
      <c r="IC70" s="708"/>
      <c r="ID70" s="708"/>
      <c r="IE70" s="708"/>
      <c r="IF70" s="708"/>
      <c r="IG70" s="708"/>
      <c r="IH70" s="708"/>
      <c r="II70" s="708"/>
      <c r="IJ70" s="708"/>
      <c r="IK70" s="708"/>
      <c r="IL70" s="708"/>
      <c r="IM70" s="708"/>
      <c r="IN70" s="708"/>
      <c r="IO70" s="708"/>
      <c r="IP70" s="708"/>
      <c r="IQ70" s="708"/>
      <c r="IR70" s="708"/>
      <c r="IS70" s="708"/>
      <c r="IT70" s="708"/>
      <c r="IU70" s="708"/>
      <c r="IV70" s="708"/>
      <c r="IW70" s="708"/>
      <c r="IX70" s="708"/>
      <c r="IY70" s="708"/>
      <c r="IZ70" s="708"/>
      <c r="JA70" s="708"/>
      <c r="JB70" s="2525"/>
      <c r="JC70" s="2525"/>
      <c r="JD70" s="2525"/>
      <c r="JE70" s="2525"/>
      <c r="JF70" s="2525"/>
      <c r="JG70" s="2525"/>
      <c r="JH70" s="2525"/>
      <c r="JI70" s="2525"/>
      <c r="JJ70" s="2525"/>
      <c r="JK70" s="2525"/>
      <c r="JL70" s="2525"/>
      <c r="JM70" s="2525"/>
      <c r="JN70" s="2525"/>
      <c r="JO70" s="2525"/>
      <c r="JP70" s="2525"/>
      <c r="JQ70" s="2525"/>
      <c r="JS70" s="2525"/>
      <c r="JT70" s="2525"/>
      <c r="JU70" s="2525"/>
      <c r="JV70" s="2525"/>
      <c r="JW70" s="2525"/>
      <c r="JX70" s="2525"/>
      <c r="JY70" s="2525"/>
      <c r="JZ70" s="2525"/>
      <c r="KA70" s="708"/>
      <c r="KB70" s="708"/>
      <c r="KC70" s="708"/>
      <c r="KD70" s="708"/>
      <c r="KE70" s="708"/>
      <c r="KF70" s="708"/>
      <c r="KG70" s="708"/>
      <c r="KH70" s="708"/>
      <c r="KI70" s="708"/>
      <c r="KJ70" s="421"/>
      <c r="KK70" s="421"/>
      <c r="KL70" s="708"/>
      <c r="KM70" s="708"/>
      <c r="KN70" s="2525"/>
      <c r="KO70" s="2525"/>
      <c r="KP70" s="2525"/>
      <c r="KQ70" s="2525"/>
      <c r="KR70" s="2525"/>
      <c r="KS70" s="2525"/>
      <c r="KT70" s="2525"/>
      <c r="KU70" s="2525"/>
      <c r="KV70" s="2525"/>
      <c r="KW70" s="2525"/>
      <c r="KX70" s="2525"/>
      <c r="KY70" s="2525"/>
      <c r="KZ70" s="2525"/>
      <c r="LA70" s="2525"/>
      <c r="LB70" s="2525"/>
      <c r="LC70" s="2525"/>
      <c r="LD70" s="2525"/>
      <c r="LE70" s="2525"/>
      <c r="LF70" s="2525"/>
      <c r="LG70" s="2525"/>
      <c r="LH70" s="2525"/>
      <c r="LI70" s="2525"/>
      <c r="LJ70" s="2525"/>
      <c r="LK70" s="2525"/>
      <c r="LL70" s="2525"/>
      <c r="LM70" s="2525"/>
      <c r="LN70" s="2525"/>
      <c r="LO70" s="2525"/>
      <c r="LP70" s="2525"/>
      <c r="LQ70" s="2525"/>
      <c r="LR70" s="2525"/>
    </row>
    <row r="71" spans="1:330">
      <c r="A71" s="2525"/>
      <c r="B71" s="2525"/>
      <c r="C71" s="2525"/>
      <c r="D71" s="2525"/>
      <c r="E71" s="2525"/>
      <c r="F71" s="2525"/>
      <c r="G71" s="2525"/>
      <c r="H71" s="2525"/>
      <c r="I71" s="2525"/>
      <c r="J71" s="2525"/>
      <c r="K71" s="2525"/>
      <c r="L71" s="2525"/>
      <c r="M71" s="2525"/>
      <c r="N71" s="2525"/>
      <c r="O71" s="2525"/>
      <c r="P71" s="2525"/>
      <c r="Q71" s="2525"/>
      <c r="R71" s="2525"/>
      <c r="S71" s="2525"/>
      <c r="T71" s="2525"/>
      <c r="U71" s="2525"/>
      <c r="V71" s="2525"/>
      <c r="W71" s="2525"/>
      <c r="X71" s="2525"/>
      <c r="Y71" s="2525"/>
      <c r="Z71" s="2525"/>
      <c r="AA71" s="2525"/>
      <c r="AB71" s="2525"/>
      <c r="AC71" s="2525"/>
      <c r="AD71" s="2525"/>
      <c r="AE71" s="2525"/>
      <c r="AF71" s="2525"/>
      <c r="AG71" s="2525"/>
      <c r="AH71" s="2525"/>
      <c r="AI71" s="2525"/>
      <c r="AJ71" s="2525"/>
      <c r="AK71" s="2525"/>
      <c r="AL71" s="2525"/>
      <c r="AM71" s="2525"/>
      <c r="AN71" s="2525"/>
      <c r="AO71" s="2525"/>
      <c r="AP71" s="2525"/>
      <c r="AQ71" s="2525"/>
      <c r="AR71" s="2525"/>
      <c r="AS71" s="2525"/>
      <c r="AT71" s="2525"/>
      <c r="AU71" s="2525"/>
      <c r="AV71" s="2525"/>
      <c r="AW71" s="2525"/>
      <c r="AX71" s="2525"/>
      <c r="AY71" s="2525"/>
      <c r="AZ71" s="2525"/>
      <c r="BA71" s="2525"/>
      <c r="BB71" s="2525"/>
      <c r="BC71" s="2525"/>
      <c r="BD71" s="2525"/>
      <c r="BE71" s="2525"/>
      <c r="BF71" s="2525"/>
      <c r="BG71" s="2525"/>
      <c r="BH71" s="2525"/>
      <c r="BI71" s="2525"/>
      <c r="BJ71" s="2525"/>
      <c r="BK71" s="2525"/>
      <c r="BL71" s="2525"/>
      <c r="BM71" s="2525"/>
      <c r="BN71" s="2525"/>
      <c r="BO71" s="2525"/>
      <c r="BP71" s="2525"/>
      <c r="BQ71" s="2525"/>
      <c r="BR71" s="2525"/>
      <c r="BS71" s="2525"/>
      <c r="BT71" s="2525"/>
      <c r="BU71" s="2525"/>
      <c r="BV71" s="2525"/>
      <c r="BW71" s="2525"/>
      <c r="BX71" s="2525"/>
      <c r="BY71" s="2525"/>
      <c r="BZ71" s="2525"/>
      <c r="CA71" s="2525"/>
      <c r="CB71" s="2525"/>
      <c r="CC71" s="2525"/>
      <c r="CD71" s="2525"/>
      <c r="CE71" s="2525"/>
      <c r="CF71" s="2525"/>
      <c r="CG71" s="2525"/>
      <c r="CH71" s="2525"/>
      <c r="CI71" s="2525"/>
      <c r="CJ71" s="2525"/>
      <c r="CK71" s="2525"/>
      <c r="CL71" s="2525"/>
      <c r="CM71" s="2525"/>
      <c r="CN71" s="2525"/>
      <c r="CO71" s="2525"/>
      <c r="CP71" s="2525"/>
      <c r="CQ71" s="2525"/>
      <c r="CR71" s="2525"/>
      <c r="CS71" s="2525"/>
      <c r="CT71" s="2525"/>
      <c r="CU71" s="2525"/>
      <c r="CV71" s="2525"/>
      <c r="CW71" s="2525"/>
      <c r="CX71" s="2525"/>
      <c r="CY71" s="2525"/>
      <c r="CZ71" s="2525"/>
      <c r="DA71" s="2525"/>
      <c r="DB71" s="2525"/>
      <c r="DC71" s="2525"/>
      <c r="DD71" s="2525"/>
      <c r="DE71" s="2525"/>
      <c r="DF71" s="2525"/>
      <c r="DG71" s="2525"/>
      <c r="DH71" s="2525"/>
      <c r="DI71" s="2525"/>
      <c r="DJ71" s="2525"/>
      <c r="DK71" s="2525"/>
      <c r="DL71" s="2525"/>
      <c r="DM71" s="2525"/>
      <c r="DN71" s="2525"/>
      <c r="DO71" s="2525"/>
      <c r="DP71" s="2525"/>
      <c r="DQ71" s="2525"/>
      <c r="DR71" s="2525"/>
      <c r="DS71" s="2525"/>
      <c r="DT71" s="2525"/>
      <c r="DU71" s="2525"/>
      <c r="DV71" s="2525"/>
      <c r="DW71" s="2525"/>
      <c r="DX71" s="2525"/>
      <c r="DY71" s="2525"/>
      <c r="DZ71" s="2525"/>
      <c r="EA71" s="2525"/>
      <c r="EB71" s="2525"/>
      <c r="EC71" s="2525"/>
      <c r="ED71" s="2525"/>
      <c r="EE71" s="2525"/>
      <c r="EF71" s="2525"/>
      <c r="EG71" s="2525"/>
      <c r="EH71" s="2525"/>
      <c r="EI71" s="2525"/>
      <c r="EJ71" s="2525"/>
      <c r="EK71" s="2525"/>
      <c r="EL71" s="2525"/>
      <c r="EM71" s="2525"/>
      <c r="EN71" s="2525"/>
      <c r="EO71" s="2525"/>
      <c r="EP71" s="2525"/>
      <c r="EQ71" s="2525"/>
      <c r="ER71" s="2525"/>
      <c r="ES71" s="2525"/>
      <c r="ET71" s="2525"/>
      <c r="EU71" s="2525"/>
      <c r="EV71" s="2525"/>
      <c r="EW71" s="2525"/>
      <c r="EX71" s="2525"/>
      <c r="EY71" s="2525"/>
      <c r="EZ71" s="2525"/>
      <c r="FA71" s="2525"/>
      <c r="FB71" s="2525"/>
      <c r="FC71" s="2525"/>
      <c r="FD71" s="708"/>
      <c r="FE71" s="708"/>
      <c r="FF71" s="708"/>
      <c r="FG71" s="708"/>
      <c r="FH71" s="708"/>
      <c r="FI71" s="708"/>
      <c r="FJ71" s="708"/>
      <c r="FK71" s="708"/>
      <c r="FL71" s="708"/>
      <c r="FM71" s="708"/>
      <c r="FN71" s="708"/>
      <c r="FO71" s="708"/>
      <c r="FP71" s="708"/>
      <c r="FQ71" s="708"/>
      <c r="FR71" s="708"/>
      <c r="FS71" s="708"/>
      <c r="FT71" s="708"/>
      <c r="FU71" s="708"/>
      <c r="FV71" s="708"/>
      <c r="FW71" s="708"/>
      <c r="FX71" s="708"/>
      <c r="FY71" s="708"/>
      <c r="FZ71" s="708"/>
      <c r="GA71" s="708"/>
      <c r="GB71" s="708"/>
      <c r="GC71" s="708"/>
      <c r="GD71" s="708"/>
      <c r="GE71" s="708"/>
      <c r="GF71" s="708"/>
      <c r="GG71" s="708"/>
      <c r="GH71" s="708"/>
      <c r="GI71" s="708"/>
      <c r="GJ71" s="708"/>
      <c r="GK71" s="708"/>
      <c r="GL71" s="708"/>
      <c r="GM71" s="708"/>
      <c r="GN71" s="708"/>
      <c r="GO71" s="708"/>
      <c r="GP71" s="708"/>
      <c r="GQ71" s="708"/>
      <c r="GR71" s="708"/>
      <c r="GS71" s="708"/>
      <c r="GT71" s="708"/>
      <c r="GU71" s="708"/>
      <c r="GV71" s="708"/>
      <c r="GW71" s="708"/>
      <c r="GX71" s="708"/>
      <c r="GY71" s="708"/>
      <c r="GZ71" s="708"/>
      <c r="HA71" s="708"/>
      <c r="HB71" s="708"/>
      <c r="HC71" s="708"/>
      <c r="HD71" s="708"/>
      <c r="HE71" s="708"/>
      <c r="HF71" s="708"/>
      <c r="HG71" s="708"/>
      <c r="HH71" s="708"/>
      <c r="HI71" s="708"/>
      <c r="HJ71" s="708"/>
      <c r="HK71" s="708"/>
      <c r="HL71" s="708"/>
      <c r="HM71" s="708"/>
      <c r="HN71" s="708"/>
      <c r="HO71" s="708"/>
      <c r="HP71" s="708"/>
      <c r="HQ71" s="708"/>
      <c r="HR71" s="708"/>
      <c r="HS71" s="708"/>
      <c r="HT71" s="708"/>
      <c r="HU71" s="708"/>
      <c r="HV71" s="708"/>
      <c r="HW71" s="708"/>
      <c r="HX71" s="708"/>
      <c r="HY71" s="708"/>
      <c r="HZ71" s="708"/>
      <c r="IA71" s="708"/>
      <c r="IB71" s="708"/>
      <c r="IC71" s="708"/>
      <c r="ID71" s="708"/>
      <c r="IE71" s="708"/>
      <c r="IF71" s="708"/>
      <c r="IG71" s="708"/>
      <c r="IH71" s="708"/>
      <c r="II71" s="708"/>
      <c r="IJ71" s="708"/>
      <c r="IK71" s="708"/>
      <c r="IL71" s="708"/>
      <c r="IM71" s="708"/>
      <c r="IN71" s="708"/>
      <c r="IO71" s="708"/>
      <c r="IP71" s="708"/>
      <c r="IQ71" s="708"/>
      <c r="IR71" s="708"/>
      <c r="IS71" s="708"/>
      <c r="IT71" s="708"/>
      <c r="IU71" s="708"/>
      <c r="IV71" s="708"/>
      <c r="IW71" s="708"/>
      <c r="IX71" s="708"/>
      <c r="IY71" s="708"/>
      <c r="IZ71" s="708"/>
      <c r="JA71" s="708"/>
      <c r="JB71" s="2525"/>
      <c r="JC71" s="2525"/>
      <c r="JD71" s="2525"/>
      <c r="JE71" s="2525"/>
      <c r="JF71" s="2525"/>
      <c r="JG71" s="2525"/>
      <c r="JH71" s="2525"/>
      <c r="JI71" s="2525"/>
      <c r="JJ71" s="2525"/>
      <c r="JK71" s="2525"/>
      <c r="JL71" s="2525"/>
      <c r="JM71" s="2525"/>
      <c r="JN71" s="2525"/>
      <c r="JO71" s="2525"/>
      <c r="JP71" s="2525"/>
      <c r="JQ71" s="2525"/>
      <c r="JS71" s="2525"/>
      <c r="JT71" s="2525"/>
      <c r="JU71" s="2525"/>
      <c r="JV71" s="2525"/>
      <c r="JW71" s="2525"/>
      <c r="JX71" s="2525"/>
      <c r="JY71" s="2525"/>
      <c r="JZ71" s="2525"/>
      <c r="KA71" s="708"/>
      <c r="KB71" s="708"/>
      <c r="KC71" s="708"/>
      <c r="KD71" s="708"/>
      <c r="KE71" s="708"/>
      <c r="KF71" s="708"/>
      <c r="KG71" s="708"/>
      <c r="KH71" s="708"/>
      <c r="KI71" s="708"/>
      <c r="KJ71" s="421"/>
      <c r="KK71" s="421"/>
      <c r="KL71" s="708"/>
      <c r="KM71" s="708"/>
      <c r="KN71" s="2525"/>
      <c r="KO71" s="2525"/>
      <c r="KP71" s="2525"/>
      <c r="KQ71" s="2525"/>
      <c r="KR71" s="2525"/>
      <c r="KS71" s="2525"/>
      <c r="KT71" s="2525"/>
      <c r="KU71" s="2525"/>
      <c r="KV71" s="2525"/>
      <c r="KW71" s="2525"/>
      <c r="KX71" s="2525"/>
      <c r="KY71" s="2525"/>
      <c r="KZ71" s="2525"/>
      <c r="LA71" s="2525"/>
      <c r="LB71" s="2525"/>
      <c r="LC71" s="2525"/>
      <c r="LD71" s="2525"/>
      <c r="LE71" s="2525"/>
      <c r="LF71" s="2525"/>
      <c r="LG71" s="2525"/>
      <c r="LH71" s="2525"/>
      <c r="LI71" s="2525"/>
      <c r="LJ71" s="2525"/>
      <c r="LK71" s="2525"/>
      <c r="LL71" s="2525"/>
      <c r="LM71" s="2525"/>
      <c r="LN71" s="2525"/>
      <c r="LO71" s="2525"/>
      <c r="LP71" s="2525"/>
      <c r="LQ71" s="2525"/>
      <c r="LR71" s="2525"/>
    </row>
    <row r="72" spans="1:330">
      <c r="A72" s="2525"/>
      <c r="B72" s="2525"/>
      <c r="C72" s="2525"/>
      <c r="D72" s="2525"/>
      <c r="E72" s="2525"/>
      <c r="F72" s="2525"/>
      <c r="G72" s="2525"/>
      <c r="H72" s="2525"/>
      <c r="I72" s="2525"/>
      <c r="J72" s="2525"/>
      <c r="K72" s="2525"/>
      <c r="L72" s="2525"/>
      <c r="M72" s="2525"/>
      <c r="N72" s="2525"/>
      <c r="O72" s="2525"/>
      <c r="P72" s="2525"/>
      <c r="Q72" s="2525"/>
      <c r="R72" s="2525"/>
      <c r="S72" s="2525"/>
      <c r="T72" s="2525"/>
      <c r="U72" s="2525"/>
      <c r="V72" s="2525"/>
      <c r="W72" s="2525"/>
      <c r="X72" s="2525"/>
      <c r="Y72" s="2525"/>
      <c r="Z72" s="2525"/>
      <c r="AA72" s="2525"/>
      <c r="AB72" s="2525"/>
      <c r="AC72" s="2525"/>
      <c r="AD72" s="2525"/>
      <c r="AE72" s="2525"/>
      <c r="AF72" s="2525"/>
      <c r="AG72" s="2525"/>
      <c r="AH72" s="2525"/>
      <c r="AI72" s="2525"/>
      <c r="AJ72" s="2525"/>
      <c r="AK72" s="2525"/>
      <c r="AL72" s="2525"/>
      <c r="AM72" s="2525"/>
      <c r="AN72" s="2525"/>
      <c r="AO72" s="2525"/>
      <c r="AP72" s="2525"/>
      <c r="AQ72" s="2525"/>
      <c r="AR72" s="2525"/>
      <c r="AS72" s="2525"/>
      <c r="AT72" s="2525"/>
      <c r="AU72" s="2525"/>
      <c r="AV72" s="2525"/>
      <c r="AW72" s="2525"/>
      <c r="AX72" s="2525"/>
      <c r="AY72" s="2525"/>
      <c r="AZ72" s="2525"/>
      <c r="BA72" s="2525"/>
      <c r="BB72" s="2525"/>
      <c r="BC72" s="2525"/>
      <c r="BD72" s="2525"/>
      <c r="BE72" s="2525"/>
      <c r="BF72" s="2525"/>
      <c r="BG72" s="2525"/>
      <c r="BH72" s="2525"/>
      <c r="BI72" s="2525"/>
      <c r="BJ72" s="2525"/>
      <c r="BK72" s="2525"/>
      <c r="BL72" s="2525"/>
      <c r="BM72" s="2525"/>
      <c r="BN72" s="2525"/>
      <c r="BO72" s="2525"/>
      <c r="BP72" s="2525"/>
      <c r="BQ72" s="2525"/>
      <c r="BR72" s="2525"/>
      <c r="BS72" s="2525"/>
      <c r="BT72" s="2525"/>
      <c r="BU72" s="2525"/>
      <c r="BV72" s="2525"/>
      <c r="BW72" s="2525"/>
      <c r="BX72" s="2525"/>
      <c r="BY72" s="2525"/>
      <c r="BZ72" s="2525"/>
      <c r="CA72" s="2525"/>
      <c r="CB72" s="2525"/>
      <c r="CC72" s="2525"/>
      <c r="CD72" s="2525"/>
      <c r="CE72" s="2525"/>
      <c r="CF72" s="2525"/>
      <c r="CG72" s="2525"/>
      <c r="CH72" s="2525"/>
      <c r="CI72" s="2525"/>
      <c r="CJ72" s="2525"/>
      <c r="CK72" s="2525"/>
      <c r="CL72" s="2525"/>
      <c r="CM72" s="2525"/>
      <c r="CN72" s="2525"/>
      <c r="CO72" s="2525"/>
      <c r="CP72" s="2525"/>
      <c r="CQ72" s="2525"/>
      <c r="CR72" s="2525"/>
      <c r="CS72" s="2525"/>
      <c r="CT72" s="2525"/>
      <c r="CU72" s="2525"/>
      <c r="CV72" s="2525"/>
      <c r="CW72" s="2525"/>
      <c r="CX72" s="2525"/>
      <c r="CY72" s="2525"/>
      <c r="CZ72" s="2525"/>
      <c r="DA72" s="2525"/>
      <c r="DB72" s="2525"/>
      <c r="DC72" s="2525"/>
      <c r="DD72" s="2525"/>
      <c r="DE72" s="2525"/>
      <c r="DF72" s="2525"/>
      <c r="DG72" s="2525"/>
      <c r="DH72" s="2525"/>
      <c r="DI72" s="2525"/>
      <c r="DJ72" s="2525"/>
      <c r="DK72" s="2525"/>
      <c r="DL72" s="2525"/>
      <c r="DM72" s="2525"/>
      <c r="DN72" s="2525"/>
      <c r="DO72" s="2525"/>
      <c r="DP72" s="2525"/>
      <c r="DQ72" s="2525"/>
      <c r="DR72" s="2525"/>
      <c r="DS72" s="2525"/>
      <c r="DT72" s="2525"/>
      <c r="DU72" s="2525"/>
      <c r="DV72" s="2525"/>
      <c r="DW72" s="2525"/>
      <c r="DX72" s="2525"/>
      <c r="DY72" s="2525"/>
      <c r="DZ72" s="2525"/>
      <c r="EA72" s="2525"/>
      <c r="EB72" s="2525"/>
      <c r="EC72" s="2525"/>
      <c r="ED72" s="2525"/>
      <c r="EE72" s="2525"/>
      <c r="EF72" s="2525"/>
      <c r="EG72" s="2525"/>
      <c r="EH72" s="2525"/>
      <c r="EI72" s="2525"/>
      <c r="EJ72" s="2525"/>
      <c r="EK72" s="2525"/>
      <c r="EL72" s="2525"/>
      <c r="EM72" s="2525"/>
      <c r="EN72" s="2525"/>
      <c r="EO72" s="2525"/>
      <c r="EP72" s="2525"/>
      <c r="EQ72" s="2525"/>
      <c r="ER72" s="2525"/>
      <c r="ES72" s="2525"/>
      <c r="ET72" s="2525"/>
      <c r="EU72" s="2525"/>
      <c r="EV72" s="2525"/>
      <c r="EW72" s="2525"/>
      <c r="EX72" s="2525"/>
      <c r="EY72" s="2525"/>
      <c r="EZ72" s="2525"/>
      <c r="FA72" s="2525"/>
      <c r="FB72" s="2525"/>
      <c r="FC72" s="2525"/>
      <c r="FD72" s="708"/>
      <c r="FE72" s="708"/>
      <c r="FF72" s="708"/>
      <c r="FG72" s="708"/>
      <c r="FH72" s="708"/>
      <c r="FI72" s="708"/>
      <c r="FJ72" s="708"/>
      <c r="FK72" s="708"/>
      <c r="FL72" s="708"/>
      <c r="FM72" s="708"/>
      <c r="FN72" s="708"/>
      <c r="FO72" s="708"/>
      <c r="FP72" s="708"/>
      <c r="FQ72" s="708"/>
      <c r="FR72" s="708"/>
      <c r="FS72" s="708"/>
      <c r="FT72" s="708"/>
      <c r="FU72" s="708"/>
      <c r="FV72" s="708"/>
      <c r="FW72" s="708"/>
      <c r="FX72" s="708"/>
      <c r="FY72" s="708"/>
      <c r="FZ72" s="708"/>
      <c r="GA72" s="708"/>
      <c r="GB72" s="708"/>
      <c r="GC72" s="708"/>
      <c r="GD72" s="708"/>
      <c r="GE72" s="708"/>
      <c r="GF72" s="708"/>
      <c r="GG72" s="708"/>
      <c r="GH72" s="708"/>
      <c r="GI72" s="708"/>
      <c r="GJ72" s="708"/>
      <c r="GK72" s="708"/>
      <c r="GL72" s="708"/>
      <c r="GM72" s="708"/>
      <c r="GN72" s="708"/>
      <c r="GO72" s="708"/>
      <c r="GP72" s="708"/>
      <c r="GQ72" s="708"/>
      <c r="GR72" s="708"/>
      <c r="GS72" s="708"/>
      <c r="GT72" s="708"/>
      <c r="GU72" s="708"/>
      <c r="GV72" s="708"/>
      <c r="GW72" s="708"/>
      <c r="GX72" s="708"/>
      <c r="GY72" s="708"/>
      <c r="GZ72" s="708"/>
      <c r="HA72" s="708"/>
      <c r="HB72" s="708"/>
      <c r="HC72" s="708"/>
      <c r="HD72" s="708"/>
      <c r="HE72" s="708"/>
      <c r="HF72" s="708"/>
      <c r="HG72" s="708"/>
      <c r="HH72" s="708"/>
      <c r="HI72" s="708"/>
      <c r="HJ72" s="708"/>
      <c r="HK72" s="708"/>
      <c r="HL72" s="708"/>
      <c r="HM72" s="708"/>
      <c r="HN72" s="708"/>
      <c r="HO72" s="708"/>
      <c r="HP72" s="708"/>
      <c r="HQ72" s="708"/>
      <c r="HR72" s="708"/>
      <c r="HS72" s="708"/>
      <c r="HT72" s="708"/>
      <c r="HU72" s="708"/>
      <c r="HV72" s="708"/>
      <c r="HW72" s="708"/>
      <c r="HX72" s="708"/>
      <c r="HY72" s="708"/>
      <c r="HZ72" s="708"/>
      <c r="IA72" s="708"/>
      <c r="IB72" s="708"/>
      <c r="IC72" s="708"/>
      <c r="ID72" s="708"/>
      <c r="IE72" s="708"/>
      <c r="IF72" s="708"/>
      <c r="IG72" s="708"/>
      <c r="IH72" s="708"/>
      <c r="II72" s="708"/>
      <c r="IJ72" s="708"/>
      <c r="IK72" s="708"/>
      <c r="IL72" s="708"/>
      <c r="IM72" s="708"/>
      <c r="IN72" s="708"/>
      <c r="IO72" s="708"/>
      <c r="IP72" s="708"/>
      <c r="IQ72" s="708"/>
      <c r="IR72" s="708"/>
      <c r="IS72" s="708"/>
      <c r="IT72" s="708"/>
      <c r="IU72" s="708"/>
      <c r="IV72" s="708"/>
      <c r="IW72" s="708"/>
      <c r="IX72" s="708"/>
      <c r="IY72" s="708"/>
      <c r="IZ72" s="708"/>
      <c r="JA72" s="708"/>
      <c r="JB72" s="2525"/>
      <c r="JC72" s="2525"/>
      <c r="JD72" s="2525"/>
      <c r="JE72" s="2525"/>
      <c r="JF72" s="2525"/>
      <c r="JG72" s="2525"/>
      <c r="JH72" s="2525"/>
      <c r="JI72" s="2525"/>
      <c r="JJ72" s="2525"/>
      <c r="JK72" s="2525"/>
      <c r="JL72" s="2525"/>
      <c r="JM72" s="2525"/>
      <c r="JN72" s="2525"/>
      <c r="JO72" s="2525"/>
      <c r="JP72" s="2525"/>
      <c r="JQ72" s="2525"/>
      <c r="JS72" s="2525"/>
      <c r="JT72" s="2525"/>
      <c r="JU72" s="2525"/>
      <c r="JV72" s="2525"/>
      <c r="JW72" s="2525"/>
      <c r="JX72" s="2525"/>
      <c r="JY72" s="2525"/>
      <c r="JZ72" s="2525"/>
      <c r="KA72" s="708"/>
      <c r="KB72" s="708"/>
      <c r="KC72" s="708"/>
      <c r="KD72" s="708"/>
      <c r="KE72" s="708"/>
      <c r="KF72" s="708"/>
      <c r="KG72" s="708"/>
      <c r="KH72" s="708"/>
      <c r="KI72" s="708"/>
      <c r="KJ72" s="421"/>
      <c r="KK72" s="421"/>
      <c r="KL72" s="708"/>
      <c r="KM72" s="708"/>
      <c r="KN72" s="2525"/>
      <c r="KO72" s="2525"/>
      <c r="KP72" s="2525"/>
      <c r="KQ72" s="2525"/>
      <c r="KR72" s="2525"/>
      <c r="KS72" s="2525"/>
      <c r="KT72" s="2525"/>
      <c r="KU72" s="2525"/>
      <c r="KV72" s="2525"/>
      <c r="KW72" s="2525"/>
      <c r="KX72" s="2525"/>
      <c r="KY72" s="2525"/>
      <c r="KZ72" s="2525"/>
      <c r="LA72" s="2525"/>
      <c r="LB72" s="2525"/>
      <c r="LC72" s="2525"/>
      <c r="LD72" s="2525"/>
      <c r="LE72" s="2525"/>
      <c r="LF72" s="2525"/>
      <c r="LG72" s="2525"/>
      <c r="LH72" s="2525"/>
      <c r="LI72" s="2525"/>
      <c r="LJ72" s="2525"/>
      <c r="LK72" s="2525"/>
      <c r="LL72" s="2525"/>
      <c r="LM72" s="2525"/>
      <c r="LN72" s="2525"/>
      <c r="LO72" s="2525"/>
      <c r="LP72" s="2525"/>
      <c r="LQ72" s="2525"/>
      <c r="LR72" s="2525"/>
    </row>
    <row r="73" spans="1:330">
      <c r="A73" s="2525"/>
      <c r="B73" s="2525"/>
      <c r="C73" s="2525"/>
      <c r="D73" s="2525"/>
      <c r="E73" s="2525"/>
      <c r="F73" s="2525"/>
      <c r="G73" s="2525"/>
      <c r="H73" s="2525"/>
      <c r="I73" s="2525"/>
      <c r="J73" s="2525"/>
      <c r="K73" s="2525"/>
      <c r="L73" s="2525"/>
      <c r="M73" s="2525"/>
      <c r="N73" s="2525"/>
      <c r="O73" s="2525"/>
      <c r="P73" s="2525"/>
      <c r="Q73" s="2525"/>
      <c r="R73" s="2525"/>
      <c r="S73" s="2525"/>
      <c r="T73" s="2525"/>
      <c r="U73" s="2525"/>
      <c r="V73" s="2525"/>
      <c r="W73" s="2525"/>
      <c r="X73" s="2525"/>
      <c r="Y73" s="2525"/>
      <c r="Z73" s="2525"/>
      <c r="AA73" s="2525"/>
      <c r="AB73" s="2525"/>
      <c r="AC73" s="2525"/>
      <c r="AD73" s="2525"/>
      <c r="AE73" s="2525"/>
      <c r="AF73" s="2525"/>
      <c r="AG73" s="2525"/>
      <c r="AH73" s="2525"/>
      <c r="AI73" s="2525"/>
      <c r="AJ73" s="2525"/>
      <c r="AK73" s="2525"/>
      <c r="AL73" s="2525"/>
      <c r="AM73" s="2525"/>
      <c r="AN73" s="2525"/>
      <c r="AO73" s="2525"/>
      <c r="AP73" s="2525"/>
      <c r="AQ73" s="2525"/>
      <c r="AR73" s="2525"/>
      <c r="AS73" s="2525"/>
      <c r="AT73" s="2525"/>
      <c r="AU73" s="2525"/>
      <c r="AV73" s="2525"/>
      <c r="AW73" s="2525"/>
      <c r="AX73" s="2525"/>
      <c r="AY73" s="2525"/>
      <c r="AZ73" s="2525"/>
      <c r="BA73" s="2525"/>
      <c r="BB73" s="2525"/>
      <c r="BC73" s="2525"/>
      <c r="BD73" s="2525"/>
      <c r="BE73" s="2525"/>
      <c r="BF73" s="2525"/>
      <c r="BG73" s="2525"/>
      <c r="BH73" s="2525"/>
      <c r="BI73" s="2525"/>
      <c r="BJ73" s="2525"/>
      <c r="BK73" s="2525"/>
      <c r="BL73" s="2525"/>
      <c r="BM73" s="2525"/>
      <c r="BN73" s="2525"/>
      <c r="BO73" s="2525"/>
      <c r="BP73" s="2525"/>
      <c r="BQ73" s="2525"/>
      <c r="BR73" s="2525"/>
      <c r="BS73" s="2525"/>
      <c r="BT73" s="2525"/>
      <c r="BU73" s="2525"/>
      <c r="BV73" s="2525"/>
      <c r="BW73" s="2525"/>
      <c r="BX73" s="2525"/>
      <c r="BY73" s="2525"/>
      <c r="BZ73" s="2525"/>
      <c r="CA73" s="2525"/>
      <c r="CB73" s="2525"/>
      <c r="CC73" s="2525"/>
      <c r="CD73" s="2525"/>
      <c r="CE73" s="2525"/>
      <c r="CF73" s="2525"/>
      <c r="CG73" s="2525"/>
      <c r="CH73" s="2525"/>
      <c r="CI73" s="2525"/>
      <c r="CJ73" s="2525"/>
      <c r="CK73" s="2525"/>
      <c r="CL73" s="2525"/>
      <c r="CM73" s="2525"/>
      <c r="CN73" s="2525"/>
      <c r="CO73" s="2525"/>
      <c r="CP73" s="2525"/>
      <c r="CQ73" s="2525"/>
      <c r="CR73" s="2525"/>
      <c r="CS73" s="2525"/>
      <c r="CT73" s="2525"/>
      <c r="CU73" s="2525"/>
      <c r="CV73" s="2525"/>
      <c r="CW73" s="2525"/>
      <c r="CX73" s="2525"/>
      <c r="CY73" s="2525"/>
      <c r="CZ73" s="2525"/>
      <c r="DA73" s="2525"/>
      <c r="DB73" s="2525"/>
      <c r="DC73" s="2525"/>
      <c r="DD73" s="2525"/>
      <c r="DE73" s="2525"/>
      <c r="DF73" s="2525"/>
      <c r="DG73" s="2525"/>
      <c r="DH73" s="2525"/>
      <c r="DI73" s="2525"/>
      <c r="DJ73" s="2525"/>
      <c r="DK73" s="2525"/>
      <c r="DL73" s="2525"/>
      <c r="DM73" s="2525"/>
      <c r="DN73" s="2525"/>
      <c r="DO73" s="2525"/>
      <c r="DP73" s="2525"/>
      <c r="DQ73" s="2525"/>
      <c r="DR73" s="2525"/>
      <c r="DS73" s="2525"/>
      <c r="DT73" s="2525"/>
      <c r="DU73" s="2525"/>
      <c r="DV73" s="2525"/>
      <c r="DW73" s="2525"/>
      <c r="DX73" s="2525"/>
      <c r="DY73" s="2525"/>
      <c r="DZ73" s="2525"/>
      <c r="EA73" s="2525"/>
      <c r="EB73" s="2525"/>
      <c r="EC73" s="2525"/>
      <c r="ED73" s="2525"/>
      <c r="EE73" s="2525"/>
      <c r="EF73" s="2525"/>
      <c r="EG73" s="2525"/>
      <c r="EH73" s="2525"/>
      <c r="EI73" s="2525"/>
      <c r="EJ73" s="2525"/>
      <c r="EK73" s="2525"/>
      <c r="EL73" s="2525"/>
      <c r="EM73" s="2525"/>
      <c r="EN73" s="2525"/>
      <c r="EO73" s="2525"/>
      <c r="EP73" s="2525"/>
      <c r="EQ73" s="2525"/>
      <c r="ER73" s="2525"/>
      <c r="ES73" s="2525"/>
      <c r="ET73" s="2525"/>
      <c r="EU73" s="2525"/>
      <c r="EV73" s="2525"/>
      <c r="EW73" s="2525"/>
      <c r="EX73" s="2525"/>
      <c r="EY73" s="2525"/>
      <c r="EZ73" s="2525"/>
      <c r="FA73" s="2525"/>
      <c r="FB73" s="2525"/>
      <c r="FC73" s="2525"/>
      <c r="FD73" s="708"/>
      <c r="FE73" s="708"/>
      <c r="FF73" s="708"/>
      <c r="FG73" s="708"/>
      <c r="FH73" s="708"/>
      <c r="FI73" s="708"/>
      <c r="FJ73" s="708"/>
      <c r="FK73" s="708"/>
      <c r="FL73" s="708"/>
      <c r="FM73" s="708"/>
      <c r="FN73" s="708"/>
      <c r="FO73" s="708"/>
      <c r="FP73" s="708"/>
      <c r="FQ73" s="708"/>
      <c r="FR73" s="708"/>
      <c r="FS73" s="708"/>
      <c r="FT73" s="708"/>
      <c r="FU73" s="708"/>
      <c r="FV73" s="708"/>
      <c r="FW73" s="708"/>
      <c r="FX73" s="708"/>
      <c r="FY73" s="708"/>
      <c r="FZ73" s="708"/>
      <c r="GA73" s="708"/>
      <c r="GB73" s="708"/>
      <c r="GC73" s="708"/>
      <c r="GD73" s="708"/>
      <c r="GE73" s="708"/>
      <c r="GF73" s="708"/>
      <c r="GG73" s="708"/>
      <c r="GH73" s="708"/>
      <c r="GI73" s="708"/>
      <c r="GJ73" s="708"/>
      <c r="GK73" s="708"/>
      <c r="GL73" s="708"/>
      <c r="GM73" s="708"/>
      <c r="GN73" s="708"/>
      <c r="GO73" s="708"/>
      <c r="GP73" s="708"/>
      <c r="GQ73" s="708"/>
      <c r="GR73" s="708"/>
      <c r="GS73" s="708"/>
      <c r="GT73" s="708"/>
      <c r="GU73" s="708"/>
      <c r="GV73" s="708"/>
      <c r="GW73" s="708"/>
      <c r="GX73" s="708"/>
      <c r="GY73" s="708"/>
      <c r="GZ73" s="708"/>
      <c r="HA73" s="708"/>
      <c r="HB73" s="708"/>
      <c r="HC73" s="708"/>
      <c r="HD73" s="708"/>
      <c r="HE73" s="708"/>
      <c r="HF73" s="708"/>
      <c r="HG73" s="708"/>
      <c r="HH73" s="708"/>
      <c r="HI73" s="708"/>
      <c r="HJ73" s="708"/>
      <c r="HK73" s="708"/>
      <c r="HL73" s="708"/>
      <c r="HM73" s="708"/>
      <c r="HN73" s="708"/>
      <c r="HO73" s="708"/>
      <c r="HP73" s="708"/>
      <c r="HQ73" s="708"/>
      <c r="HR73" s="708"/>
      <c r="HS73" s="708"/>
      <c r="HT73" s="708"/>
      <c r="HU73" s="708"/>
      <c r="HV73" s="708"/>
      <c r="HW73" s="708"/>
      <c r="HX73" s="708"/>
      <c r="HY73" s="708"/>
      <c r="HZ73" s="708"/>
      <c r="IA73" s="708"/>
      <c r="IB73" s="708"/>
      <c r="IC73" s="708"/>
      <c r="ID73" s="708"/>
      <c r="IE73" s="708"/>
      <c r="IF73" s="708"/>
      <c r="IG73" s="708"/>
      <c r="IH73" s="708"/>
      <c r="II73" s="708"/>
      <c r="IJ73" s="708"/>
      <c r="IK73" s="708"/>
      <c r="IL73" s="708"/>
      <c r="IM73" s="708"/>
      <c r="IN73" s="708"/>
      <c r="IO73" s="708"/>
      <c r="IP73" s="708"/>
      <c r="IQ73" s="708"/>
      <c r="IR73" s="708"/>
      <c r="IS73" s="708"/>
      <c r="IT73" s="708"/>
      <c r="IU73" s="708"/>
      <c r="IV73" s="708"/>
      <c r="IW73" s="708"/>
      <c r="IX73" s="708"/>
      <c r="IY73" s="708"/>
      <c r="IZ73" s="708"/>
      <c r="JA73" s="708"/>
      <c r="JB73" s="2525"/>
      <c r="JC73" s="2525"/>
      <c r="JD73" s="2525"/>
      <c r="JE73" s="2525"/>
      <c r="JF73" s="2525"/>
      <c r="JG73" s="2525"/>
      <c r="JH73" s="2525"/>
      <c r="JI73" s="2525"/>
      <c r="JJ73" s="2525"/>
      <c r="JK73" s="2525"/>
      <c r="JL73" s="2525"/>
      <c r="JM73" s="2525"/>
      <c r="JN73" s="2525"/>
      <c r="JO73" s="2525"/>
      <c r="JP73" s="2525"/>
      <c r="JQ73" s="2525"/>
      <c r="JS73" s="2525"/>
      <c r="JT73" s="2525"/>
      <c r="JU73" s="2525"/>
      <c r="JV73" s="2525"/>
      <c r="JW73" s="2525"/>
      <c r="JX73" s="2525"/>
      <c r="JY73" s="2525"/>
      <c r="JZ73" s="2525"/>
      <c r="KA73" s="708"/>
      <c r="KB73" s="708"/>
      <c r="KC73" s="708"/>
      <c r="KD73" s="708"/>
      <c r="KE73" s="708"/>
      <c r="KF73" s="708"/>
      <c r="KG73" s="708"/>
      <c r="KH73" s="708"/>
      <c r="KI73" s="708"/>
      <c r="KJ73" s="421"/>
      <c r="KK73" s="421"/>
      <c r="KL73" s="708"/>
      <c r="KM73" s="708"/>
      <c r="KN73" s="2525"/>
      <c r="KO73" s="2525"/>
      <c r="KP73" s="2525"/>
      <c r="KQ73" s="2525"/>
      <c r="KR73" s="2525"/>
      <c r="KS73" s="2525"/>
      <c r="KT73" s="2525"/>
      <c r="KU73" s="2525"/>
      <c r="KV73" s="2525"/>
      <c r="KW73" s="2525"/>
      <c r="KX73" s="2525"/>
      <c r="KY73" s="2525"/>
      <c r="KZ73" s="2525"/>
      <c r="LA73" s="2525"/>
      <c r="LB73" s="2525"/>
      <c r="LC73" s="2525"/>
      <c r="LD73" s="2525"/>
      <c r="LE73" s="2525"/>
      <c r="LF73" s="2525"/>
      <c r="LG73" s="2525"/>
      <c r="LH73" s="2525"/>
      <c r="LI73" s="2525"/>
      <c r="LJ73" s="2525"/>
      <c r="LK73" s="2525"/>
      <c r="LL73" s="2525"/>
      <c r="LM73" s="2525"/>
      <c r="LN73" s="2525"/>
      <c r="LO73" s="2525"/>
      <c r="LP73" s="2525"/>
      <c r="LQ73" s="2525"/>
      <c r="LR73" s="2525"/>
    </row>
    <row r="74" spans="1:330">
      <c r="A74" s="2525"/>
      <c r="B74" s="2525"/>
      <c r="C74" s="2525"/>
      <c r="D74" s="2525"/>
      <c r="E74" s="2525"/>
      <c r="F74" s="2525"/>
      <c r="G74" s="2525"/>
      <c r="H74" s="2525"/>
      <c r="I74" s="2525"/>
      <c r="J74" s="2525"/>
      <c r="K74" s="2525"/>
      <c r="L74" s="2525"/>
      <c r="M74" s="2525"/>
      <c r="N74" s="2525"/>
      <c r="O74" s="2525"/>
      <c r="P74" s="2525"/>
      <c r="Q74" s="2525"/>
      <c r="R74" s="2525"/>
      <c r="S74" s="2525"/>
      <c r="T74" s="2525"/>
      <c r="U74" s="2525"/>
      <c r="V74" s="2525"/>
      <c r="W74" s="2525"/>
      <c r="X74" s="2525"/>
      <c r="Y74" s="2525"/>
      <c r="Z74" s="2525"/>
      <c r="AA74" s="2525"/>
      <c r="AB74" s="2525"/>
      <c r="AC74" s="2525"/>
      <c r="AD74" s="2525"/>
      <c r="AE74" s="2525"/>
      <c r="AF74" s="2525"/>
      <c r="AG74" s="2525"/>
      <c r="AH74" s="2525"/>
      <c r="AI74" s="2525"/>
      <c r="AJ74" s="2525"/>
      <c r="AK74" s="2525"/>
      <c r="AL74" s="2525"/>
      <c r="AM74" s="2525"/>
      <c r="AN74" s="2525"/>
      <c r="AO74" s="2525"/>
      <c r="AP74" s="2525"/>
      <c r="AQ74" s="2525"/>
      <c r="AR74" s="2525"/>
      <c r="AS74" s="2525"/>
      <c r="AT74" s="2525"/>
      <c r="AU74" s="2525"/>
      <c r="AV74" s="2525"/>
      <c r="AW74" s="2525"/>
      <c r="AX74" s="2525"/>
      <c r="AY74" s="2525"/>
      <c r="AZ74" s="2525"/>
      <c r="BA74" s="2525"/>
      <c r="BB74" s="2525"/>
      <c r="BC74" s="2525"/>
      <c r="BD74" s="2525"/>
      <c r="BE74" s="2525"/>
      <c r="BF74" s="2525"/>
      <c r="BG74" s="2525"/>
      <c r="BH74" s="2525"/>
      <c r="BI74" s="2525"/>
      <c r="BJ74" s="2525"/>
      <c r="BK74" s="2525"/>
      <c r="BL74" s="2525"/>
      <c r="BM74" s="2525"/>
      <c r="BN74" s="2525"/>
      <c r="BO74" s="2525"/>
      <c r="BP74" s="2525"/>
      <c r="BQ74" s="2525"/>
      <c r="BR74" s="2525"/>
      <c r="BS74" s="2525"/>
      <c r="BT74" s="2525"/>
      <c r="BU74" s="2525"/>
      <c r="BV74" s="2525"/>
      <c r="BW74" s="2525"/>
      <c r="BX74" s="2525"/>
      <c r="BY74" s="2525"/>
      <c r="BZ74" s="2525"/>
      <c r="CA74" s="2525"/>
      <c r="CB74" s="2525"/>
      <c r="CC74" s="2525"/>
      <c r="CD74" s="2525"/>
      <c r="CE74" s="2525"/>
      <c r="CF74" s="2525"/>
      <c r="CG74" s="2525"/>
      <c r="CH74" s="2525"/>
      <c r="CI74" s="2525"/>
      <c r="CJ74" s="2525"/>
      <c r="CK74" s="2525"/>
      <c r="CL74" s="2525"/>
      <c r="CM74" s="2525"/>
      <c r="CN74" s="2525"/>
      <c r="CO74" s="2525"/>
      <c r="CP74" s="2525"/>
      <c r="CQ74" s="2525"/>
      <c r="CR74" s="2525"/>
      <c r="CS74" s="2525"/>
      <c r="CT74" s="2525"/>
      <c r="CU74" s="2525"/>
      <c r="CV74" s="2525"/>
      <c r="CW74" s="2525"/>
      <c r="CX74" s="2525"/>
      <c r="CY74" s="2525"/>
      <c r="CZ74" s="2525"/>
      <c r="DA74" s="2525"/>
      <c r="DB74" s="2525"/>
      <c r="DC74" s="2525"/>
      <c r="DD74" s="2525"/>
      <c r="DE74" s="2525"/>
      <c r="DF74" s="2525"/>
      <c r="DG74" s="2525"/>
      <c r="DH74" s="2525"/>
      <c r="DI74" s="2525"/>
      <c r="DJ74" s="2525"/>
      <c r="DK74" s="2525"/>
      <c r="DL74" s="2525"/>
      <c r="DM74" s="2525"/>
      <c r="DN74" s="2525"/>
      <c r="DO74" s="2525"/>
      <c r="DP74" s="2525"/>
      <c r="DQ74" s="2525"/>
      <c r="DR74" s="2525"/>
      <c r="DS74" s="2525"/>
      <c r="DT74" s="2525"/>
      <c r="DU74" s="2525"/>
      <c r="DV74" s="2525"/>
      <c r="DW74" s="2525"/>
      <c r="DX74" s="2525"/>
      <c r="DY74" s="2525"/>
      <c r="DZ74" s="2525"/>
      <c r="EA74" s="2525"/>
      <c r="EB74" s="2525"/>
      <c r="EC74" s="2525"/>
      <c r="ED74" s="2525"/>
      <c r="EE74" s="2525"/>
      <c r="EF74" s="2525"/>
      <c r="EG74" s="2525"/>
      <c r="EH74" s="2525"/>
      <c r="EI74" s="2525"/>
      <c r="EJ74" s="2525"/>
      <c r="EK74" s="2525"/>
      <c r="EL74" s="2525"/>
      <c r="EM74" s="2525"/>
      <c r="EN74" s="2525"/>
      <c r="EO74" s="2525"/>
      <c r="EP74" s="2525"/>
      <c r="EQ74" s="2525"/>
      <c r="ER74" s="2525"/>
      <c r="ES74" s="2525"/>
      <c r="ET74" s="2525"/>
      <c r="EU74" s="2525"/>
      <c r="EV74" s="2525"/>
      <c r="EW74" s="2525"/>
      <c r="EX74" s="2525"/>
      <c r="EY74" s="2525"/>
      <c r="EZ74" s="2525"/>
      <c r="FA74" s="2525"/>
      <c r="FB74" s="2525"/>
      <c r="FC74" s="2525"/>
      <c r="FD74" s="708"/>
      <c r="FE74" s="708"/>
      <c r="FF74" s="708"/>
      <c r="FG74" s="708"/>
      <c r="FH74" s="708"/>
      <c r="FI74" s="708"/>
      <c r="FJ74" s="708"/>
      <c r="FK74" s="708"/>
      <c r="FL74" s="708"/>
      <c r="FM74" s="708"/>
      <c r="FN74" s="708"/>
      <c r="FO74" s="708"/>
      <c r="FP74" s="708"/>
      <c r="FQ74" s="708"/>
      <c r="FR74" s="708"/>
      <c r="FS74" s="708"/>
      <c r="FT74" s="708"/>
      <c r="FU74" s="708"/>
      <c r="FV74" s="708"/>
      <c r="FW74" s="708"/>
      <c r="FX74" s="708"/>
      <c r="FY74" s="708"/>
      <c r="FZ74" s="708"/>
      <c r="GA74" s="708"/>
      <c r="GB74" s="708"/>
      <c r="GC74" s="708"/>
      <c r="GD74" s="708"/>
      <c r="GE74" s="708"/>
      <c r="GF74" s="708"/>
      <c r="GG74" s="708"/>
      <c r="GH74" s="708"/>
      <c r="GI74" s="708"/>
      <c r="GJ74" s="708"/>
      <c r="GK74" s="708"/>
      <c r="GL74" s="708"/>
      <c r="GM74" s="708"/>
      <c r="GN74" s="708"/>
      <c r="GO74" s="708"/>
      <c r="GP74" s="708"/>
      <c r="GQ74" s="708"/>
      <c r="GR74" s="708"/>
      <c r="GS74" s="708"/>
      <c r="GT74" s="708"/>
      <c r="GU74" s="708"/>
      <c r="GV74" s="708"/>
      <c r="GW74" s="708"/>
      <c r="GX74" s="708"/>
      <c r="GY74" s="708"/>
      <c r="GZ74" s="708"/>
      <c r="HA74" s="708"/>
      <c r="HB74" s="708"/>
      <c r="HC74" s="708"/>
      <c r="HD74" s="708"/>
      <c r="HE74" s="708"/>
      <c r="HF74" s="708"/>
      <c r="HG74" s="708"/>
      <c r="HH74" s="708"/>
      <c r="HI74" s="708"/>
      <c r="HJ74" s="708"/>
      <c r="HK74" s="708"/>
      <c r="HL74" s="708"/>
      <c r="HM74" s="708"/>
      <c r="HN74" s="708"/>
      <c r="HO74" s="708"/>
      <c r="HP74" s="708"/>
      <c r="HQ74" s="708"/>
      <c r="HR74" s="708"/>
      <c r="HS74" s="708"/>
      <c r="HT74" s="708"/>
      <c r="HU74" s="708"/>
      <c r="HV74" s="708"/>
      <c r="HW74" s="708"/>
      <c r="HX74" s="708"/>
      <c r="HY74" s="708"/>
      <c r="HZ74" s="708"/>
      <c r="IA74" s="708"/>
      <c r="IB74" s="708"/>
      <c r="IC74" s="708"/>
      <c r="ID74" s="708"/>
      <c r="IE74" s="708"/>
      <c r="IF74" s="708"/>
      <c r="IG74" s="708"/>
      <c r="IH74" s="708"/>
      <c r="II74" s="708"/>
      <c r="IJ74" s="708"/>
      <c r="IK74" s="708"/>
      <c r="IL74" s="708"/>
      <c r="IM74" s="708"/>
      <c r="IN74" s="708"/>
      <c r="IO74" s="708"/>
      <c r="IP74" s="708"/>
      <c r="IQ74" s="708"/>
      <c r="IR74" s="708"/>
      <c r="IS74" s="708"/>
      <c r="IT74" s="708"/>
      <c r="IU74" s="708"/>
      <c r="IV74" s="708"/>
      <c r="IW74" s="708"/>
      <c r="IX74" s="708"/>
      <c r="IY74" s="708"/>
      <c r="IZ74" s="708"/>
      <c r="JA74" s="708"/>
      <c r="JB74" s="2525"/>
      <c r="JC74" s="2525"/>
      <c r="JD74" s="2525"/>
      <c r="JE74" s="2525"/>
      <c r="JF74" s="2525"/>
      <c r="JG74" s="2525"/>
      <c r="JH74" s="2525"/>
      <c r="JI74" s="2525"/>
      <c r="JJ74" s="2525"/>
      <c r="JK74" s="2525"/>
      <c r="JL74" s="2525"/>
      <c r="JM74" s="2525"/>
      <c r="JN74" s="2525"/>
      <c r="JO74" s="2525"/>
      <c r="JP74" s="2525"/>
      <c r="JQ74" s="2525"/>
      <c r="JS74" s="2525"/>
      <c r="JT74" s="2525"/>
      <c r="JU74" s="2525"/>
      <c r="JV74" s="2525"/>
      <c r="JW74" s="2525"/>
      <c r="JX74" s="2525"/>
      <c r="JY74" s="2525"/>
      <c r="JZ74" s="2525"/>
      <c r="KA74" s="708"/>
      <c r="KB74" s="708"/>
      <c r="KC74" s="708"/>
      <c r="KD74" s="708"/>
      <c r="KE74" s="708"/>
      <c r="KF74" s="708"/>
      <c r="KG74" s="708"/>
      <c r="KH74" s="708"/>
      <c r="KI74" s="708"/>
      <c r="KJ74" s="421"/>
      <c r="KK74" s="421"/>
      <c r="KL74" s="708"/>
      <c r="KM74" s="708"/>
      <c r="KN74" s="2525"/>
      <c r="KO74" s="2525"/>
      <c r="KP74" s="2525"/>
      <c r="KQ74" s="2525"/>
      <c r="KR74" s="2525"/>
      <c r="KS74" s="2525"/>
      <c r="KT74" s="2525"/>
      <c r="KU74" s="2525"/>
      <c r="KV74" s="2525"/>
      <c r="KW74" s="2525"/>
      <c r="KX74" s="2525"/>
      <c r="KY74" s="2525"/>
      <c r="KZ74" s="2525"/>
      <c r="LA74" s="2525"/>
      <c r="LB74" s="2525"/>
      <c r="LC74" s="2525"/>
      <c r="LD74" s="2525"/>
      <c r="LE74" s="2525"/>
      <c r="LF74" s="2525"/>
      <c r="LG74" s="2525"/>
      <c r="LH74" s="2525"/>
      <c r="LI74" s="2525"/>
      <c r="LJ74" s="2525"/>
      <c r="LK74" s="2525"/>
      <c r="LL74" s="2525"/>
      <c r="LM74" s="2525"/>
      <c r="LN74" s="2525"/>
      <c r="LO74" s="2525"/>
      <c r="LP74" s="2525"/>
      <c r="LQ74" s="2525"/>
      <c r="LR74" s="2525"/>
    </row>
    <row r="75" spans="1:330">
      <c r="A75" s="2525"/>
      <c r="B75" s="2525"/>
      <c r="C75" s="2525"/>
      <c r="D75" s="2525"/>
      <c r="E75" s="2525"/>
      <c r="F75" s="2525"/>
      <c r="G75" s="2525"/>
      <c r="H75" s="2525"/>
      <c r="I75" s="2525"/>
      <c r="J75" s="2525"/>
      <c r="K75" s="2525"/>
      <c r="L75" s="2525"/>
      <c r="M75" s="2525"/>
      <c r="N75" s="2525"/>
      <c r="O75" s="2525"/>
      <c r="P75" s="2525"/>
      <c r="Q75" s="2525"/>
      <c r="R75" s="2525"/>
      <c r="S75" s="2525"/>
      <c r="T75" s="2525"/>
      <c r="U75" s="2525"/>
      <c r="V75" s="2525"/>
      <c r="W75" s="2525"/>
      <c r="X75" s="2525"/>
      <c r="Y75" s="2525"/>
      <c r="Z75" s="2525"/>
      <c r="AA75" s="2525"/>
      <c r="AB75" s="2525"/>
      <c r="AC75" s="2525"/>
      <c r="AD75" s="2525"/>
      <c r="AE75" s="2525"/>
      <c r="AF75" s="2525"/>
      <c r="AG75" s="2525"/>
      <c r="AH75" s="2525"/>
      <c r="AI75" s="2525"/>
      <c r="AJ75" s="2525"/>
      <c r="AK75" s="2525"/>
      <c r="AL75" s="2525"/>
      <c r="AM75" s="2525"/>
      <c r="AN75" s="2525"/>
      <c r="AO75" s="2525"/>
      <c r="AP75" s="2525"/>
      <c r="AQ75" s="2525"/>
      <c r="AR75" s="2525"/>
      <c r="AS75" s="2525"/>
      <c r="AT75" s="2525"/>
      <c r="AU75" s="2525"/>
      <c r="AV75" s="2525"/>
      <c r="AW75" s="2525"/>
      <c r="AX75" s="2525"/>
      <c r="AY75" s="2525"/>
      <c r="AZ75" s="2525"/>
      <c r="BA75" s="2525"/>
      <c r="BB75" s="2525"/>
      <c r="BC75" s="2525"/>
      <c r="BD75" s="2525"/>
      <c r="BE75" s="2525"/>
      <c r="BF75" s="2525"/>
      <c r="BG75" s="2525"/>
      <c r="BH75" s="2525"/>
      <c r="BI75" s="2525"/>
      <c r="BJ75" s="2525"/>
      <c r="BK75" s="2525"/>
      <c r="BL75" s="2525"/>
      <c r="BM75" s="2525"/>
      <c r="BN75" s="2525"/>
      <c r="BO75" s="2525"/>
      <c r="BP75" s="2525"/>
      <c r="BQ75" s="2525"/>
      <c r="BR75" s="2525"/>
      <c r="BS75" s="2525"/>
      <c r="BT75" s="2525"/>
      <c r="BU75" s="2525"/>
      <c r="BV75" s="2525"/>
      <c r="BW75" s="2525"/>
      <c r="BX75" s="2525"/>
      <c r="BY75" s="2525"/>
      <c r="BZ75" s="2525"/>
      <c r="CA75" s="2525"/>
      <c r="CB75" s="2525"/>
      <c r="CC75" s="2525"/>
      <c r="CD75" s="2525"/>
      <c r="CE75" s="2525"/>
      <c r="CF75" s="2525"/>
      <c r="CG75" s="2525"/>
      <c r="CH75" s="2525"/>
      <c r="CI75" s="2525"/>
      <c r="CJ75" s="2525"/>
      <c r="CK75" s="2525"/>
      <c r="CL75" s="2525"/>
      <c r="CM75" s="2525"/>
      <c r="CN75" s="2525"/>
      <c r="CO75" s="2525"/>
      <c r="CP75" s="2525"/>
      <c r="CQ75" s="2525"/>
      <c r="CR75" s="2525"/>
      <c r="CS75" s="2525"/>
      <c r="CT75" s="2525"/>
      <c r="CU75" s="2525"/>
      <c r="CV75" s="2525"/>
      <c r="CW75" s="2525"/>
      <c r="CX75" s="2525"/>
      <c r="CY75" s="2525"/>
      <c r="CZ75" s="2525"/>
      <c r="DA75" s="2525"/>
      <c r="DB75" s="2525"/>
      <c r="DC75" s="2525"/>
      <c r="DD75" s="2525"/>
      <c r="DE75" s="2525"/>
      <c r="DF75" s="2525"/>
      <c r="DG75" s="2525"/>
      <c r="DH75" s="2525"/>
      <c r="DI75" s="2525"/>
      <c r="DJ75" s="2525"/>
      <c r="DK75" s="2525"/>
      <c r="DL75" s="2525"/>
      <c r="DM75" s="2525"/>
      <c r="DN75" s="2525"/>
      <c r="DO75" s="2525"/>
      <c r="DP75" s="2525"/>
      <c r="DQ75" s="2525"/>
      <c r="DR75" s="2525"/>
      <c r="DS75" s="2525"/>
      <c r="DT75" s="2525"/>
      <c r="DU75" s="2525"/>
      <c r="DV75" s="2525"/>
      <c r="DW75" s="2525"/>
      <c r="DX75" s="2525"/>
      <c r="DY75" s="2525"/>
      <c r="DZ75" s="2525"/>
      <c r="EA75" s="2525"/>
      <c r="EB75" s="2525"/>
      <c r="EC75" s="2525"/>
      <c r="ED75" s="2525"/>
      <c r="EE75" s="2525"/>
      <c r="EF75" s="2525"/>
      <c r="EG75" s="2525"/>
      <c r="EH75" s="2525"/>
      <c r="EI75" s="2525"/>
      <c r="EJ75" s="2525"/>
      <c r="EK75" s="2525"/>
      <c r="EL75" s="2525"/>
      <c r="EM75" s="2525"/>
      <c r="EN75" s="2525"/>
      <c r="EO75" s="2525"/>
      <c r="EP75" s="2525"/>
      <c r="EQ75" s="2525"/>
      <c r="ER75" s="2525"/>
      <c r="ES75" s="2525"/>
      <c r="ET75" s="2525"/>
      <c r="EU75" s="2525"/>
      <c r="EV75" s="2525"/>
      <c r="EW75" s="2525"/>
      <c r="EX75" s="2525"/>
      <c r="EY75" s="2525"/>
      <c r="EZ75" s="2525"/>
      <c r="FA75" s="2525"/>
      <c r="FB75" s="2525"/>
      <c r="FC75" s="2525"/>
      <c r="FD75" s="708"/>
      <c r="FE75" s="708"/>
      <c r="FF75" s="708"/>
      <c r="FG75" s="708"/>
      <c r="FH75" s="708"/>
      <c r="FI75" s="708"/>
      <c r="FJ75" s="708"/>
      <c r="FK75" s="708"/>
      <c r="FL75" s="708"/>
      <c r="FM75" s="708"/>
      <c r="FN75" s="708"/>
      <c r="FO75" s="708"/>
      <c r="FP75" s="708"/>
      <c r="FQ75" s="708"/>
      <c r="FR75" s="708"/>
      <c r="FS75" s="708"/>
      <c r="FT75" s="708"/>
      <c r="FU75" s="708"/>
      <c r="FV75" s="708"/>
      <c r="FW75" s="708"/>
      <c r="FX75" s="708"/>
      <c r="FY75" s="708"/>
      <c r="FZ75" s="708"/>
      <c r="GA75" s="708"/>
      <c r="GB75" s="708"/>
      <c r="GC75" s="708"/>
      <c r="GD75" s="708"/>
      <c r="GE75" s="708"/>
      <c r="GF75" s="708"/>
      <c r="GG75" s="708"/>
      <c r="GH75" s="708"/>
      <c r="GI75" s="708"/>
      <c r="GJ75" s="708"/>
      <c r="GK75" s="708"/>
      <c r="GL75" s="708"/>
      <c r="GM75" s="708"/>
      <c r="GN75" s="708"/>
      <c r="GO75" s="708"/>
      <c r="GP75" s="708"/>
      <c r="GQ75" s="708"/>
      <c r="GR75" s="708"/>
      <c r="GS75" s="708"/>
      <c r="GT75" s="708"/>
      <c r="GU75" s="708"/>
      <c r="GV75" s="708"/>
      <c r="GW75" s="708"/>
      <c r="GX75" s="708"/>
      <c r="GY75" s="708"/>
      <c r="GZ75" s="708"/>
      <c r="HA75" s="708"/>
      <c r="HB75" s="708"/>
      <c r="HC75" s="708"/>
      <c r="HD75" s="708"/>
      <c r="HE75" s="708"/>
      <c r="HF75" s="708"/>
      <c r="HG75" s="708"/>
      <c r="HH75" s="708"/>
      <c r="HI75" s="708"/>
      <c r="HJ75" s="708"/>
      <c r="HK75" s="708"/>
      <c r="HL75" s="708"/>
      <c r="HM75" s="708"/>
      <c r="HN75" s="708"/>
      <c r="HO75" s="708"/>
      <c r="HP75" s="708"/>
      <c r="HQ75" s="708"/>
      <c r="HR75" s="708"/>
      <c r="HS75" s="708"/>
      <c r="HT75" s="708"/>
      <c r="HU75" s="708"/>
      <c r="HV75" s="708"/>
      <c r="HW75" s="708"/>
      <c r="HX75" s="708"/>
      <c r="HY75" s="708"/>
      <c r="HZ75" s="708"/>
      <c r="IA75" s="708"/>
      <c r="IB75" s="708"/>
      <c r="IC75" s="708"/>
      <c r="ID75" s="708"/>
      <c r="IE75" s="708"/>
      <c r="IF75" s="708"/>
      <c r="IG75" s="708"/>
      <c r="IH75" s="708"/>
      <c r="II75" s="708"/>
      <c r="IJ75" s="708"/>
      <c r="IK75" s="708"/>
      <c r="IL75" s="708"/>
      <c r="IM75" s="708"/>
      <c r="IN75" s="708"/>
      <c r="IO75" s="708"/>
      <c r="IP75" s="708"/>
      <c r="IQ75" s="708"/>
      <c r="IR75" s="708"/>
      <c r="IS75" s="708"/>
      <c r="IT75" s="708"/>
      <c r="IU75" s="708"/>
      <c r="IV75" s="708"/>
      <c r="IW75" s="708"/>
      <c r="IX75" s="708"/>
      <c r="IY75" s="708"/>
      <c r="IZ75" s="708"/>
      <c r="JA75" s="708"/>
      <c r="JB75" s="2525"/>
      <c r="JC75" s="2525"/>
      <c r="JD75" s="2525"/>
      <c r="JE75" s="2525"/>
      <c r="JF75" s="2525"/>
      <c r="JG75" s="2525"/>
      <c r="JH75" s="2525"/>
      <c r="JI75" s="2525"/>
      <c r="JJ75" s="2525"/>
      <c r="JK75" s="2525"/>
      <c r="JL75" s="2525"/>
      <c r="JM75" s="2525"/>
      <c r="JN75" s="2525"/>
      <c r="JO75" s="2525"/>
      <c r="JP75" s="2525"/>
      <c r="JQ75" s="2525"/>
      <c r="JS75" s="2525"/>
      <c r="JT75" s="2525"/>
      <c r="JU75" s="2525"/>
      <c r="JV75" s="2525"/>
      <c r="JW75" s="2525"/>
      <c r="JX75" s="2525"/>
      <c r="JY75" s="2525"/>
      <c r="JZ75" s="2525"/>
      <c r="KA75" s="708"/>
      <c r="KB75" s="708"/>
      <c r="KC75" s="708"/>
      <c r="KD75" s="708"/>
      <c r="KE75" s="708"/>
      <c r="KF75" s="708"/>
      <c r="KG75" s="708"/>
      <c r="KH75" s="708"/>
      <c r="KI75" s="708"/>
      <c r="KJ75" s="421"/>
      <c r="KK75" s="421"/>
      <c r="KL75" s="708"/>
      <c r="KM75" s="708"/>
      <c r="KN75" s="2525"/>
      <c r="KO75" s="2525"/>
      <c r="KP75" s="2525"/>
      <c r="KQ75" s="2525"/>
      <c r="KR75" s="2525"/>
      <c r="KS75" s="2525"/>
      <c r="KT75" s="2525"/>
      <c r="KU75" s="2525"/>
      <c r="KV75" s="2525"/>
      <c r="KW75" s="2525"/>
      <c r="KX75" s="2525"/>
      <c r="KY75" s="2525"/>
      <c r="KZ75" s="2525"/>
      <c r="LA75" s="2525"/>
      <c r="LB75" s="2525"/>
      <c r="LC75" s="2525"/>
      <c r="LD75" s="2525"/>
      <c r="LE75" s="2525"/>
      <c r="LF75" s="2525"/>
      <c r="LG75" s="2525"/>
      <c r="LH75" s="2525"/>
      <c r="LI75" s="2525"/>
      <c r="LJ75" s="2525"/>
      <c r="LK75" s="2525"/>
      <c r="LL75" s="2525"/>
      <c r="LM75" s="2525"/>
      <c r="LN75" s="2525"/>
      <c r="LO75" s="2525"/>
      <c r="LP75" s="2525"/>
      <c r="LQ75" s="2525"/>
      <c r="LR75" s="2525"/>
    </row>
    <row r="76" spans="1:330">
      <c r="A76" s="2525"/>
      <c r="B76" s="2525"/>
      <c r="C76" s="2525"/>
      <c r="D76" s="2525"/>
      <c r="E76" s="2525"/>
      <c r="F76" s="2525"/>
      <c r="G76" s="2525"/>
      <c r="H76" s="2525"/>
      <c r="I76" s="2525"/>
      <c r="J76" s="2525"/>
      <c r="K76" s="2525"/>
      <c r="L76" s="2525"/>
      <c r="M76" s="2525"/>
      <c r="N76" s="2525"/>
      <c r="O76" s="2525"/>
      <c r="P76" s="2525"/>
      <c r="Q76" s="2525"/>
      <c r="R76" s="2525"/>
      <c r="S76" s="2525"/>
      <c r="T76" s="2525"/>
      <c r="U76" s="2525"/>
      <c r="V76" s="2525"/>
      <c r="W76" s="2525"/>
      <c r="X76" s="2525"/>
      <c r="Y76" s="2525"/>
      <c r="Z76" s="2525"/>
      <c r="AA76" s="2525"/>
      <c r="AB76" s="2525"/>
      <c r="AC76" s="2525"/>
      <c r="AD76" s="2525"/>
      <c r="AE76" s="2525"/>
      <c r="AF76" s="2525"/>
      <c r="AG76" s="2525"/>
      <c r="AH76" s="2525"/>
      <c r="AI76" s="2525"/>
      <c r="AJ76" s="2525"/>
      <c r="AK76" s="2525"/>
      <c r="AL76" s="2525"/>
      <c r="AM76" s="2525"/>
      <c r="AN76" s="2525"/>
      <c r="AO76" s="2525"/>
      <c r="AP76" s="2525"/>
      <c r="AQ76" s="2525"/>
      <c r="AR76" s="2525"/>
      <c r="AS76" s="2525"/>
      <c r="AT76" s="2525"/>
      <c r="AU76" s="2525"/>
      <c r="AV76" s="2525"/>
      <c r="AW76" s="2525"/>
      <c r="AX76" s="2525"/>
      <c r="AY76" s="2525"/>
      <c r="AZ76" s="2525"/>
      <c r="BA76" s="2525"/>
      <c r="BB76" s="2525"/>
      <c r="BC76" s="2525"/>
      <c r="BD76" s="2525"/>
      <c r="BE76" s="2525"/>
      <c r="BF76" s="2525"/>
      <c r="BG76" s="2525"/>
      <c r="BH76" s="2525"/>
      <c r="BI76" s="2525"/>
      <c r="BJ76" s="2525"/>
      <c r="BK76" s="2525"/>
      <c r="BL76" s="2525"/>
      <c r="BM76" s="2525"/>
      <c r="BN76" s="2525"/>
      <c r="BO76" s="2525"/>
      <c r="BP76" s="2525"/>
      <c r="BQ76" s="2525"/>
      <c r="BR76" s="2525"/>
      <c r="BS76" s="2525"/>
      <c r="BT76" s="2525"/>
      <c r="BU76" s="2525"/>
      <c r="BV76" s="2525"/>
      <c r="BW76" s="2525"/>
      <c r="BX76" s="2525"/>
      <c r="BY76" s="2525"/>
      <c r="BZ76" s="2525"/>
      <c r="CA76" s="2525"/>
      <c r="CB76" s="2525"/>
      <c r="CC76" s="2525"/>
      <c r="CD76" s="2525"/>
      <c r="CE76" s="2525"/>
      <c r="CF76" s="2525"/>
      <c r="CG76" s="2525"/>
      <c r="CH76" s="2525"/>
      <c r="CI76" s="2525"/>
      <c r="CJ76" s="2525"/>
      <c r="CK76" s="2525"/>
      <c r="CL76" s="2525"/>
      <c r="CM76" s="2525"/>
      <c r="CN76" s="2525"/>
      <c r="CO76" s="2525"/>
      <c r="CP76" s="2525"/>
      <c r="CQ76" s="2525"/>
      <c r="CR76" s="2525"/>
      <c r="CS76" s="2525"/>
      <c r="CT76" s="2525"/>
      <c r="CU76" s="2525"/>
      <c r="CV76" s="2525"/>
      <c r="CW76" s="2525"/>
      <c r="CX76" s="2525"/>
      <c r="CY76" s="2525"/>
      <c r="CZ76" s="2525"/>
      <c r="DA76" s="2525"/>
      <c r="DB76" s="2525"/>
      <c r="DC76" s="2525"/>
      <c r="DD76" s="2525"/>
      <c r="DE76" s="2525"/>
      <c r="DF76" s="2525"/>
      <c r="DG76" s="2525"/>
      <c r="DH76" s="2525"/>
      <c r="DI76" s="2525"/>
      <c r="DJ76" s="2525"/>
      <c r="DK76" s="2525"/>
      <c r="DL76" s="2525"/>
      <c r="DM76" s="2525"/>
      <c r="DN76" s="2525"/>
      <c r="DO76" s="2525"/>
      <c r="DP76" s="2525"/>
      <c r="DQ76" s="2525"/>
      <c r="DR76" s="2525"/>
      <c r="DS76" s="2525"/>
      <c r="DT76" s="2525"/>
      <c r="DU76" s="2525"/>
      <c r="DV76" s="2525"/>
      <c r="DW76" s="2525"/>
      <c r="DX76" s="2525"/>
      <c r="DY76" s="2525"/>
      <c r="DZ76" s="2525"/>
      <c r="EA76" s="2525"/>
      <c r="EB76" s="2525"/>
      <c r="EC76" s="2525"/>
      <c r="ED76" s="2525"/>
      <c r="EE76" s="2525"/>
      <c r="EF76" s="2525"/>
      <c r="EG76" s="2525"/>
      <c r="EH76" s="2525"/>
      <c r="EI76" s="2525"/>
      <c r="EJ76" s="2525"/>
      <c r="EK76" s="2525"/>
      <c r="EL76" s="2525"/>
      <c r="EM76" s="2525"/>
      <c r="EN76" s="2525"/>
      <c r="EO76" s="2525"/>
      <c r="EP76" s="2525"/>
      <c r="EQ76" s="2525"/>
      <c r="ER76" s="2525"/>
      <c r="ES76" s="2525"/>
      <c r="ET76" s="2525"/>
      <c r="EU76" s="2525"/>
      <c r="EV76" s="2525"/>
      <c r="EW76" s="2525"/>
      <c r="EX76" s="2525"/>
      <c r="EY76" s="2525"/>
      <c r="EZ76" s="2525"/>
      <c r="FA76" s="2525"/>
      <c r="FB76" s="2525"/>
      <c r="FC76" s="2525"/>
      <c r="FD76" s="708"/>
      <c r="FE76" s="708"/>
      <c r="FF76" s="708"/>
      <c r="FG76" s="708"/>
      <c r="FH76" s="708"/>
      <c r="FI76" s="708"/>
      <c r="FJ76" s="708"/>
      <c r="FK76" s="708"/>
      <c r="FL76" s="708"/>
      <c r="FM76" s="708"/>
      <c r="FN76" s="708"/>
      <c r="FO76" s="708"/>
      <c r="FP76" s="708"/>
      <c r="FQ76" s="708"/>
      <c r="FR76" s="708"/>
      <c r="FS76" s="708"/>
      <c r="FT76" s="708"/>
      <c r="FU76" s="708"/>
      <c r="FV76" s="708"/>
      <c r="FW76" s="708"/>
      <c r="FX76" s="708"/>
      <c r="FY76" s="708"/>
      <c r="FZ76" s="708"/>
      <c r="GA76" s="708"/>
      <c r="GB76" s="708"/>
      <c r="GC76" s="708"/>
      <c r="GD76" s="708"/>
      <c r="GE76" s="708"/>
      <c r="GF76" s="708"/>
      <c r="GG76" s="708"/>
      <c r="GH76" s="708"/>
      <c r="GI76" s="708"/>
      <c r="GJ76" s="708"/>
      <c r="GK76" s="708"/>
      <c r="GL76" s="708"/>
      <c r="GM76" s="708"/>
      <c r="GN76" s="708"/>
      <c r="GO76" s="708"/>
      <c r="GP76" s="708"/>
      <c r="GQ76" s="708"/>
      <c r="GR76" s="708"/>
      <c r="GS76" s="708"/>
      <c r="GT76" s="708"/>
      <c r="GU76" s="708"/>
      <c r="GV76" s="708"/>
      <c r="GW76" s="708"/>
      <c r="GX76" s="708"/>
      <c r="GY76" s="708"/>
      <c r="GZ76" s="708"/>
      <c r="HA76" s="708"/>
      <c r="HB76" s="708"/>
      <c r="HC76" s="708"/>
      <c r="HD76" s="708"/>
      <c r="HE76" s="708"/>
      <c r="HF76" s="708"/>
      <c r="HG76" s="708"/>
      <c r="HH76" s="708"/>
      <c r="HI76" s="708"/>
      <c r="HJ76" s="708"/>
      <c r="HK76" s="708"/>
      <c r="HL76" s="708"/>
      <c r="HM76" s="708"/>
      <c r="HN76" s="708"/>
      <c r="HO76" s="708"/>
      <c r="HP76" s="708"/>
      <c r="HQ76" s="708"/>
      <c r="HR76" s="708"/>
      <c r="HS76" s="708"/>
      <c r="HT76" s="708"/>
      <c r="HU76" s="708"/>
      <c r="HV76" s="708"/>
      <c r="HW76" s="708"/>
      <c r="HX76" s="708"/>
      <c r="HY76" s="708"/>
      <c r="HZ76" s="708"/>
      <c r="IA76" s="708"/>
      <c r="IB76" s="708"/>
      <c r="IC76" s="708"/>
      <c r="ID76" s="708"/>
      <c r="IE76" s="708"/>
      <c r="IF76" s="708"/>
      <c r="IG76" s="708"/>
      <c r="IH76" s="708"/>
      <c r="II76" s="708"/>
      <c r="IJ76" s="708"/>
      <c r="IK76" s="708"/>
      <c r="IL76" s="708"/>
      <c r="IM76" s="708"/>
      <c r="IN76" s="708"/>
      <c r="IO76" s="708"/>
      <c r="IP76" s="708"/>
      <c r="IQ76" s="708"/>
      <c r="IR76" s="708"/>
      <c r="IS76" s="708"/>
      <c r="IT76" s="708"/>
      <c r="IU76" s="708"/>
      <c r="IV76" s="708"/>
      <c r="IW76" s="708"/>
      <c r="IX76" s="708"/>
      <c r="IY76" s="708"/>
      <c r="IZ76" s="708"/>
      <c r="JA76" s="708"/>
      <c r="JB76" s="2525"/>
      <c r="JC76" s="2525"/>
      <c r="JD76" s="2525"/>
      <c r="JE76" s="2525"/>
      <c r="JF76" s="2525"/>
      <c r="JG76" s="2525"/>
      <c r="JH76" s="2525"/>
      <c r="JI76" s="2525"/>
      <c r="JJ76" s="2525"/>
      <c r="JK76" s="2525"/>
      <c r="JL76" s="2525"/>
      <c r="JM76" s="2525"/>
      <c r="JN76" s="2525"/>
      <c r="JO76" s="2525"/>
      <c r="JP76" s="2525"/>
      <c r="JQ76" s="2525"/>
      <c r="JS76" s="2525"/>
      <c r="JT76" s="2525"/>
      <c r="JU76" s="2525"/>
      <c r="JV76" s="2525"/>
      <c r="JW76" s="2525"/>
      <c r="JX76" s="2525"/>
      <c r="JY76" s="2525"/>
      <c r="JZ76" s="2525"/>
      <c r="KA76" s="708"/>
      <c r="KB76" s="708"/>
      <c r="KC76" s="708"/>
      <c r="KD76" s="708"/>
      <c r="KE76" s="708"/>
      <c r="KF76" s="708"/>
      <c r="KG76" s="708"/>
      <c r="KH76" s="708"/>
      <c r="KI76" s="708"/>
      <c r="KJ76" s="421"/>
      <c r="KK76" s="421"/>
      <c r="KL76" s="708"/>
      <c r="KM76" s="708"/>
      <c r="KN76" s="2525"/>
      <c r="KO76" s="2525"/>
      <c r="KP76" s="2525"/>
      <c r="KQ76" s="2525"/>
      <c r="KR76" s="2525"/>
      <c r="KS76" s="2525"/>
      <c r="KT76" s="2525"/>
      <c r="KU76" s="2525"/>
      <c r="KV76" s="2525"/>
      <c r="KW76" s="2525"/>
      <c r="KX76" s="2525"/>
      <c r="KY76" s="2525"/>
      <c r="KZ76" s="2525"/>
      <c r="LA76" s="2525"/>
      <c r="LB76" s="2525"/>
      <c r="LC76" s="2525"/>
      <c r="LD76" s="2525"/>
      <c r="LE76" s="2525"/>
      <c r="LF76" s="2525"/>
      <c r="LG76" s="2525"/>
      <c r="LH76" s="2525"/>
      <c r="LI76" s="2525"/>
      <c r="LJ76" s="2525"/>
      <c r="LK76" s="2525"/>
      <c r="LL76" s="2525"/>
      <c r="LM76" s="2525"/>
      <c r="LN76" s="2525"/>
      <c r="LO76" s="2525"/>
      <c r="LP76" s="2525"/>
      <c r="LQ76" s="2525"/>
      <c r="LR76" s="2525"/>
    </row>
    <row r="77" spans="1:330">
      <c r="A77" s="2525"/>
      <c r="B77" s="2525"/>
      <c r="C77" s="2525"/>
      <c r="D77" s="2525"/>
      <c r="E77" s="2525"/>
      <c r="F77" s="2525"/>
      <c r="G77" s="2525"/>
      <c r="H77" s="2525"/>
      <c r="I77" s="2525"/>
      <c r="J77" s="2525"/>
      <c r="K77" s="2525"/>
      <c r="L77" s="2525"/>
      <c r="M77" s="2525"/>
      <c r="N77" s="2525"/>
      <c r="O77" s="2525"/>
      <c r="P77" s="2525"/>
      <c r="Q77" s="2525"/>
      <c r="R77" s="2525"/>
      <c r="S77" s="2525"/>
      <c r="T77" s="2525"/>
      <c r="U77" s="2525"/>
      <c r="V77" s="2525"/>
      <c r="W77" s="2525"/>
      <c r="X77" s="2525"/>
      <c r="Y77" s="2525"/>
      <c r="Z77" s="2525"/>
      <c r="AA77" s="2525"/>
      <c r="AB77" s="2525"/>
      <c r="AC77" s="2525"/>
      <c r="AD77" s="2525"/>
      <c r="AE77" s="2525"/>
      <c r="AF77" s="2525"/>
      <c r="AG77" s="2525"/>
      <c r="AH77" s="2525"/>
      <c r="AI77" s="2525"/>
      <c r="AJ77" s="2525"/>
      <c r="AK77" s="2525"/>
      <c r="AL77" s="2525"/>
      <c r="AM77" s="2525"/>
      <c r="AN77" s="2525"/>
      <c r="AO77" s="2525"/>
      <c r="AP77" s="2525"/>
      <c r="AQ77" s="2525"/>
      <c r="AR77" s="2525"/>
      <c r="AS77" s="2525"/>
      <c r="AT77" s="2525"/>
      <c r="AU77" s="2525"/>
      <c r="AV77" s="2525"/>
      <c r="AW77" s="2525"/>
      <c r="AX77" s="2525"/>
      <c r="AY77" s="2525"/>
      <c r="AZ77" s="2525"/>
      <c r="BA77" s="2525"/>
      <c r="BB77" s="2525"/>
      <c r="BC77" s="2525"/>
      <c r="BD77" s="2525"/>
      <c r="BE77" s="2525"/>
      <c r="BF77" s="2525"/>
      <c r="BG77" s="2525"/>
      <c r="BH77" s="2525"/>
      <c r="BI77" s="2525"/>
      <c r="BJ77" s="2525"/>
      <c r="BK77" s="2525"/>
      <c r="BL77" s="2525"/>
      <c r="BM77" s="2525"/>
      <c r="BN77" s="2525"/>
      <c r="BO77" s="2525"/>
      <c r="BP77" s="2525"/>
      <c r="BQ77" s="2525"/>
      <c r="BR77" s="2525"/>
      <c r="BS77" s="2525"/>
      <c r="BT77" s="2525"/>
      <c r="BU77" s="2525"/>
      <c r="BV77" s="2525"/>
      <c r="BW77" s="2525"/>
      <c r="BX77" s="2525"/>
      <c r="BY77" s="2525"/>
      <c r="BZ77" s="2525"/>
      <c r="CA77" s="2525"/>
      <c r="CB77" s="2525"/>
      <c r="CC77" s="2525"/>
      <c r="CD77" s="2525"/>
      <c r="CE77" s="2525"/>
      <c r="CF77" s="2525"/>
      <c r="CG77" s="2525"/>
      <c r="CH77" s="2525"/>
      <c r="CI77" s="2525"/>
      <c r="CJ77" s="2525"/>
      <c r="CK77" s="2525"/>
      <c r="CL77" s="2525"/>
      <c r="CM77" s="2525"/>
      <c r="CN77" s="2525"/>
      <c r="CO77" s="2525"/>
      <c r="CP77" s="2525"/>
      <c r="CQ77" s="2525"/>
      <c r="CR77" s="2525"/>
      <c r="CS77" s="2525"/>
      <c r="CT77" s="2525"/>
      <c r="CU77" s="2525"/>
      <c r="CV77" s="2525"/>
      <c r="CW77" s="2525"/>
      <c r="CX77" s="2525"/>
      <c r="CY77" s="2525"/>
      <c r="CZ77" s="2525"/>
      <c r="DA77" s="2525"/>
      <c r="DB77" s="2525"/>
      <c r="DC77" s="2525"/>
      <c r="DD77" s="2525"/>
      <c r="DE77" s="2525"/>
      <c r="DF77" s="2525"/>
      <c r="DG77" s="2525"/>
      <c r="DH77" s="2525"/>
      <c r="DI77" s="2525"/>
      <c r="DJ77" s="2525"/>
      <c r="DK77" s="2525"/>
      <c r="DL77" s="2525"/>
      <c r="DM77" s="2525"/>
      <c r="DN77" s="2525"/>
      <c r="DO77" s="2525"/>
      <c r="DP77" s="2525"/>
      <c r="DQ77" s="2525"/>
      <c r="DR77" s="2525"/>
      <c r="DS77" s="2525"/>
      <c r="DT77" s="2525"/>
      <c r="DU77" s="2525"/>
      <c r="DV77" s="2525"/>
      <c r="DW77" s="2525"/>
      <c r="DX77" s="2525"/>
      <c r="DY77" s="2525"/>
      <c r="DZ77" s="2525"/>
      <c r="EA77" s="2525"/>
      <c r="EB77" s="2525"/>
      <c r="EC77" s="2525"/>
      <c r="ED77" s="2525"/>
      <c r="EE77" s="2525"/>
      <c r="EF77" s="2525"/>
      <c r="EG77" s="2525"/>
      <c r="EH77" s="2525"/>
      <c r="EI77" s="2525"/>
      <c r="EJ77" s="2525"/>
      <c r="EK77" s="2525"/>
      <c r="EL77" s="2525"/>
      <c r="EM77" s="2525"/>
      <c r="EN77" s="2525"/>
      <c r="EO77" s="2525"/>
      <c r="EP77" s="2525"/>
      <c r="EQ77" s="2525"/>
      <c r="ER77" s="2525"/>
      <c r="ES77" s="2525"/>
      <c r="ET77" s="2525"/>
      <c r="EU77" s="2525"/>
      <c r="EV77" s="2525"/>
      <c r="EW77" s="2525"/>
      <c r="EX77" s="2525"/>
      <c r="EY77" s="2525"/>
      <c r="EZ77" s="2525"/>
      <c r="FA77" s="2525"/>
      <c r="FB77" s="2525"/>
      <c r="FC77" s="2525"/>
      <c r="FD77" s="708"/>
      <c r="FE77" s="708"/>
      <c r="FF77" s="708"/>
      <c r="FG77" s="708"/>
      <c r="FH77" s="708"/>
      <c r="FI77" s="708"/>
      <c r="FJ77" s="708"/>
      <c r="FK77" s="708"/>
      <c r="FL77" s="708"/>
      <c r="FM77" s="708"/>
      <c r="FN77" s="708"/>
      <c r="FO77" s="708"/>
      <c r="FP77" s="708"/>
      <c r="FQ77" s="708"/>
      <c r="FR77" s="708"/>
      <c r="FS77" s="708"/>
      <c r="FT77" s="708"/>
      <c r="FU77" s="708"/>
      <c r="FV77" s="708"/>
      <c r="FW77" s="708"/>
      <c r="FX77" s="708"/>
      <c r="FY77" s="708"/>
      <c r="FZ77" s="708"/>
      <c r="GA77" s="708"/>
      <c r="GB77" s="708"/>
      <c r="GC77" s="708"/>
      <c r="GD77" s="708"/>
      <c r="GE77" s="708"/>
      <c r="GF77" s="708"/>
      <c r="GG77" s="708"/>
      <c r="GH77" s="708"/>
      <c r="GI77" s="708"/>
      <c r="GJ77" s="708"/>
      <c r="GK77" s="708"/>
      <c r="GL77" s="708"/>
      <c r="GM77" s="708"/>
      <c r="GN77" s="708"/>
      <c r="GO77" s="708"/>
      <c r="GP77" s="708"/>
      <c r="GQ77" s="708"/>
      <c r="GR77" s="708"/>
      <c r="GS77" s="708"/>
      <c r="GT77" s="708"/>
      <c r="GU77" s="708"/>
      <c r="GV77" s="708"/>
      <c r="GW77" s="708"/>
      <c r="GX77" s="708"/>
      <c r="GY77" s="708"/>
      <c r="GZ77" s="708"/>
      <c r="HA77" s="708"/>
      <c r="HB77" s="708"/>
      <c r="HC77" s="708"/>
      <c r="HD77" s="708"/>
      <c r="HE77" s="708"/>
      <c r="HF77" s="708"/>
      <c r="HG77" s="708"/>
      <c r="HH77" s="708"/>
      <c r="HI77" s="708"/>
      <c r="HJ77" s="708"/>
      <c r="HK77" s="708"/>
      <c r="HL77" s="708"/>
      <c r="HM77" s="708"/>
      <c r="HN77" s="708"/>
      <c r="HO77" s="708"/>
      <c r="HP77" s="708"/>
      <c r="HQ77" s="708"/>
      <c r="HR77" s="708"/>
      <c r="HS77" s="708"/>
      <c r="HT77" s="708"/>
      <c r="HU77" s="708"/>
      <c r="HV77" s="708"/>
      <c r="HW77" s="708"/>
      <c r="HX77" s="708"/>
      <c r="HY77" s="708"/>
      <c r="HZ77" s="708"/>
      <c r="IA77" s="708"/>
      <c r="IB77" s="708"/>
      <c r="IC77" s="708"/>
      <c r="ID77" s="708"/>
      <c r="IE77" s="708"/>
      <c r="IF77" s="708"/>
      <c r="IG77" s="708"/>
      <c r="IH77" s="708"/>
      <c r="II77" s="708"/>
      <c r="IJ77" s="708"/>
      <c r="IK77" s="708"/>
      <c r="IL77" s="708"/>
      <c r="IM77" s="708"/>
      <c r="IN77" s="708"/>
      <c r="IO77" s="708"/>
      <c r="IP77" s="708"/>
      <c r="IQ77" s="708"/>
      <c r="IR77" s="708"/>
      <c r="IS77" s="708"/>
      <c r="IT77" s="708"/>
      <c r="IU77" s="708"/>
      <c r="IV77" s="708"/>
      <c r="IW77" s="708"/>
      <c r="IX77" s="708"/>
      <c r="IY77" s="708"/>
      <c r="IZ77" s="708"/>
      <c r="JA77" s="708"/>
      <c r="JB77" s="2525"/>
      <c r="JC77" s="2525"/>
      <c r="JD77" s="2525"/>
      <c r="JE77" s="2525"/>
      <c r="JF77" s="2525"/>
      <c r="JG77" s="2525"/>
      <c r="JH77" s="2525"/>
      <c r="JI77" s="2525"/>
      <c r="JJ77" s="2525"/>
      <c r="JK77" s="2525"/>
      <c r="JL77" s="2525"/>
      <c r="JM77" s="2525"/>
      <c r="JN77" s="2525"/>
      <c r="JO77" s="2525"/>
      <c r="JP77" s="2525"/>
      <c r="JQ77" s="2525"/>
      <c r="JS77" s="2525"/>
      <c r="JT77" s="2525"/>
      <c r="JU77" s="2525"/>
      <c r="JV77" s="2525"/>
      <c r="JW77" s="2525"/>
      <c r="JX77" s="2525"/>
      <c r="JY77" s="2525"/>
      <c r="JZ77" s="2525"/>
      <c r="KA77" s="708"/>
      <c r="KB77" s="708"/>
      <c r="KC77" s="708"/>
      <c r="KD77" s="708"/>
      <c r="KE77" s="708"/>
      <c r="KF77" s="708"/>
      <c r="KG77" s="708"/>
      <c r="KH77" s="708"/>
      <c r="KI77" s="708"/>
      <c r="KJ77" s="421"/>
      <c r="KK77" s="421"/>
      <c r="KL77" s="708"/>
      <c r="KM77" s="708"/>
      <c r="KN77" s="2525"/>
      <c r="KO77" s="2525"/>
      <c r="KP77" s="2525"/>
      <c r="KQ77" s="2525"/>
      <c r="KR77" s="2525"/>
      <c r="KS77" s="2525"/>
      <c r="KT77" s="2525"/>
      <c r="KU77" s="2525"/>
      <c r="KV77" s="2525"/>
      <c r="KW77" s="2525"/>
      <c r="KX77" s="2525"/>
      <c r="KY77" s="2525"/>
      <c r="KZ77" s="2525"/>
      <c r="LA77" s="2525"/>
      <c r="LB77" s="2525"/>
      <c r="LC77" s="2525"/>
      <c r="LD77" s="2525"/>
      <c r="LE77" s="2525"/>
      <c r="LF77" s="2525"/>
      <c r="LG77" s="2525"/>
      <c r="LH77" s="2525"/>
      <c r="LI77" s="2525"/>
      <c r="LJ77" s="2525"/>
      <c r="LK77" s="2525"/>
      <c r="LL77" s="2525"/>
      <c r="LM77" s="2525"/>
      <c r="LN77" s="2525"/>
      <c r="LO77" s="2525"/>
      <c r="LP77" s="2525"/>
      <c r="LQ77" s="2525"/>
      <c r="LR77" s="2525"/>
    </row>
    <row r="78" spans="1:330">
      <c r="A78" s="2525"/>
      <c r="B78" s="2525"/>
      <c r="C78" s="2525"/>
      <c r="D78" s="2525"/>
      <c r="E78" s="2525"/>
      <c r="F78" s="2525"/>
      <c r="G78" s="2525"/>
      <c r="H78" s="2525"/>
      <c r="I78" s="2525"/>
      <c r="J78" s="2525"/>
      <c r="K78" s="2525"/>
      <c r="L78" s="2525"/>
      <c r="M78" s="2525"/>
      <c r="N78" s="2525"/>
      <c r="O78" s="2525"/>
      <c r="P78" s="2525"/>
      <c r="Q78" s="2525"/>
      <c r="R78" s="2525"/>
      <c r="S78" s="2525"/>
      <c r="T78" s="2525"/>
      <c r="U78" s="2525"/>
      <c r="V78" s="2525"/>
      <c r="W78" s="2525"/>
      <c r="X78" s="2525"/>
      <c r="Y78" s="2525"/>
      <c r="Z78" s="2525"/>
      <c r="AA78" s="2525"/>
      <c r="AB78" s="2525"/>
      <c r="AC78" s="2525"/>
      <c r="AD78" s="2525"/>
      <c r="AE78" s="2525"/>
      <c r="AF78" s="2525"/>
      <c r="AG78" s="2525"/>
      <c r="AH78" s="2525"/>
      <c r="AI78" s="2525"/>
      <c r="AJ78" s="2525"/>
      <c r="AK78" s="2525"/>
      <c r="AL78" s="2525"/>
      <c r="AM78" s="2525"/>
      <c r="AN78" s="2525"/>
      <c r="AO78" s="2525"/>
      <c r="AP78" s="2525"/>
      <c r="AQ78" s="2525"/>
      <c r="AR78" s="2525"/>
      <c r="AS78" s="2525"/>
      <c r="AT78" s="2525"/>
      <c r="AU78" s="2525"/>
      <c r="AV78" s="2525"/>
      <c r="AW78" s="2525"/>
      <c r="AX78" s="2525"/>
      <c r="AY78" s="2525"/>
      <c r="AZ78" s="2525"/>
      <c r="BA78" s="2525"/>
      <c r="BB78" s="2525"/>
      <c r="BC78" s="2525"/>
      <c r="BD78" s="2525"/>
      <c r="BE78" s="2525"/>
      <c r="BF78" s="2525"/>
      <c r="BG78" s="2525"/>
      <c r="BH78" s="2525"/>
      <c r="BI78" s="2525"/>
      <c r="BJ78" s="2525"/>
      <c r="BK78" s="2525"/>
      <c r="BL78" s="2525"/>
      <c r="BM78" s="2525"/>
      <c r="BN78" s="2525"/>
      <c r="BO78" s="2525"/>
      <c r="BP78" s="2525"/>
      <c r="BQ78" s="2525"/>
      <c r="BR78" s="2525"/>
      <c r="BS78" s="2525"/>
      <c r="BT78" s="2525"/>
      <c r="BU78" s="2525"/>
      <c r="BV78" s="2525"/>
      <c r="BW78" s="2525"/>
      <c r="BX78" s="2525"/>
      <c r="BY78" s="2525"/>
      <c r="BZ78" s="2525"/>
      <c r="CA78" s="2525"/>
      <c r="CB78" s="2525"/>
      <c r="CC78" s="2525"/>
      <c r="CD78" s="2525"/>
      <c r="CE78" s="2525"/>
      <c r="CF78" s="2525"/>
      <c r="CG78" s="2525"/>
      <c r="CH78" s="2525"/>
      <c r="CI78" s="2525"/>
      <c r="CJ78" s="2525"/>
      <c r="CK78" s="2525"/>
      <c r="CL78" s="2525"/>
      <c r="CM78" s="2525"/>
      <c r="CN78" s="2525"/>
      <c r="CO78" s="2525"/>
      <c r="CP78" s="2525"/>
      <c r="CQ78" s="2525"/>
      <c r="CR78" s="2525"/>
      <c r="CS78" s="2525"/>
      <c r="CT78" s="2525"/>
      <c r="CU78" s="2525"/>
      <c r="CV78" s="2525"/>
      <c r="CW78" s="2525"/>
      <c r="CX78" s="2525"/>
      <c r="CY78" s="2525"/>
      <c r="CZ78" s="2525"/>
      <c r="DA78" s="2525"/>
      <c r="DB78" s="2525"/>
      <c r="DC78" s="2525"/>
      <c r="DD78" s="2525"/>
      <c r="DE78" s="2525"/>
      <c r="DF78" s="2525"/>
      <c r="DG78" s="2525"/>
      <c r="DH78" s="2525"/>
      <c r="DI78" s="2525"/>
      <c r="DJ78" s="2525"/>
      <c r="DK78" s="2525"/>
      <c r="DL78" s="2525"/>
      <c r="DM78" s="2525"/>
      <c r="DN78" s="2525"/>
      <c r="DO78" s="2525"/>
      <c r="DP78" s="2525"/>
      <c r="DQ78" s="2525"/>
      <c r="DR78" s="2525"/>
      <c r="DS78" s="2525"/>
      <c r="DT78" s="2525"/>
      <c r="DU78" s="2525"/>
      <c r="DV78" s="2525"/>
      <c r="DW78" s="2525"/>
      <c r="DX78" s="2525"/>
      <c r="DY78" s="2525"/>
      <c r="DZ78" s="2525"/>
      <c r="EA78" s="2525"/>
      <c r="EB78" s="2525"/>
      <c r="EC78" s="2525"/>
      <c r="ED78" s="2525"/>
      <c r="EE78" s="2525"/>
      <c r="EF78" s="2525"/>
      <c r="EG78" s="2525"/>
      <c r="EH78" s="2525"/>
      <c r="EI78" s="2525"/>
      <c r="EJ78" s="2525"/>
      <c r="EK78" s="2525"/>
      <c r="EL78" s="2525"/>
      <c r="EM78" s="2525"/>
      <c r="EN78" s="2525"/>
      <c r="EO78" s="2525"/>
      <c r="EP78" s="2525"/>
      <c r="EQ78" s="2525"/>
      <c r="ER78" s="2525"/>
      <c r="ES78" s="2525"/>
      <c r="ET78" s="2525"/>
      <c r="EU78" s="2525"/>
      <c r="EV78" s="2525"/>
      <c r="EW78" s="2525"/>
      <c r="EX78" s="2525"/>
      <c r="EY78" s="2525"/>
      <c r="EZ78" s="2525"/>
      <c r="FA78" s="2525"/>
      <c r="FB78" s="2525"/>
      <c r="FC78" s="2525"/>
      <c r="FD78" s="708"/>
      <c r="FE78" s="708"/>
      <c r="FF78" s="708"/>
      <c r="FG78" s="708"/>
      <c r="FH78" s="708"/>
      <c r="FI78" s="708"/>
      <c r="FJ78" s="708"/>
      <c r="FK78" s="708"/>
      <c r="FL78" s="708"/>
      <c r="FM78" s="708"/>
      <c r="FN78" s="708"/>
      <c r="FO78" s="708"/>
      <c r="FP78" s="708"/>
      <c r="FQ78" s="708"/>
      <c r="FR78" s="708"/>
      <c r="FS78" s="708"/>
      <c r="FT78" s="708"/>
      <c r="FU78" s="708"/>
      <c r="FV78" s="708"/>
      <c r="FW78" s="708"/>
      <c r="FX78" s="708"/>
      <c r="FY78" s="708"/>
      <c r="FZ78" s="708"/>
      <c r="GA78" s="708"/>
      <c r="GB78" s="708"/>
      <c r="GC78" s="708"/>
      <c r="GD78" s="708"/>
      <c r="GE78" s="708"/>
      <c r="GF78" s="708"/>
      <c r="GG78" s="708"/>
      <c r="GH78" s="708"/>
      <c r="GI78" s="708"/>
      <c r="GJ78" s="708"/>
      <c r="GK78" s="708"/>
      <c r="GL78" s="708"/>
      <c r="GM78" s="708"/>
      <c r="GN78" s="708"/>
      <c r="GO78" s="708"/>
      <c r="GP78" s="708"/>
      <c r="GQ78" s="708"/>
      <c r="GR78" s="708"/>
      <c r="GS78" s="708"/>
      <c r="GT78" s="708"/>
      <c r="GU78" s="708"/>
      <c r="GV78" s="708"/>
      <c r="GW78" s="708"/>
      <c r="GX78" s="708"/>
      <c r="GY78" s="708"/>
      <c r="GZ78" s="708"/>
      <c r="HA78" s="708"/>
      <c r="HB78" s="708"/>
      <c r="HC78" s="708"/>
      <c r="HD78" s="708"/>
      <c r="HE78" s="708"/>
      <c r="HF78" s="708"/>
      <c r="HG78" s="708"/>
      <c r="HH78" s="708"/>
      <c r="HI78" s="708"/>
      <c r="HJ78" s="708"/>
      <c r="HK78" s="708"/>
      <c r="HL78" s="708"/>
      <c r="HM78" s="708"/>
      <c r="HN78" s="708"/>
      <c r="HO78" s="708"/>
      <c r="HP78" s="708"/>
      <c r="HQ78" s="708"/>
      <c r="HR78" s="708"/>
      <c r="HS78" s="708"/>
      <c r="HT78" s="708"/>
      <c r="HU78" s="708"/>
      <c r="HV78" s="708"/>
      <c r="HW78" s="708"/>
      <c r="HX78" s="708"/>
      <c r="HY78" s="708"/>
      <c r="HZ78" s="708"/>
      <c r="IA78" s="708"/>
      <c r="IB78" s="708"/>
      <c r="IC78" s="708"/>
      <c r="ID78" s="708"/>
      <c r="IE78" s="708"/>
      <c r="IF78" s="708"/>
      <c r="IG78" s="708"/>
      <c r="IH78" s="708"/>
      <c r="II78" s="708"/>
      <c r="IJ78" s="708"/>
      <c r="IK78" s="708"/>
      <c r="IL78" s="708"/>
      <c r="IM78" s="708"/>
      <c r="IN78" s="708"/>
      <c r="IO78" s="708"/>
      <c r="IP78" s="708"/>
      <c r="IQ78" s="708"/>
      <c r="IR78" s="708"/>
      <c r="IS78" s="708"/>
      <c r="IT78" s="708"/>
      <c r="IU78" s="708"/>
      <c r="IV78" s="708"/>
      <c r="IW78" s="708"/>
      <c r="IX78" s="708"/>
      <c r="IY78" s="708"/>
      <c r="IZ78" s="708"/>
      <c r="JA78" s="708"/>
      <c r="JB78" s="2525"/>
      <c r="JC78" s="2525"/>
      <c r="JD78" s="2525"/>
      <c r="JE78" s="2525"/>
      <c r="JF78" s="2525"/>
      <c r="JG78" s="2525"/>
      <c r="JH78" s="2525"/>
      <c r="JI78" s="2525"/>
      <c r="JJ78" s="2525"/>
      <c r="JK78" s="2525"/>
      <c r="JL78" s="2525"/>
      <c r="JM78" s="2525"/>
      <c r="JN78" s="2525"/>
      <c r="JO78" s="2525"/>
      <c r="JP78" s="2525"/>
      <c r="JQ78" s="2525"/>
      <c r="JS78" s="2525"/>
      <c r="JT78" s="2525"/>
      <c r="JU78" s="2525"/>
      <c r="JV78" s="2525"/>
      <c r="JW78" s="2525"/>
      <c r="JX78" s="2525"/>
      <c r="JY78" s="2525"/>
      <c r="JZ78" s="2525"/>
      <c r="KA78" s="708"/>
      <c r="KB78" s="708"/>
      <c r="KC78" s="708"/>
      <c r="KD78" s="708"/>
      <c r="KE78" s="708"/>
      <c r="KF78" s="708"/>
      <c r="KG78" s="708"/>
      <c r="KH78" s="708"/>
      <c r="KI78" s="708"/>
      <c r="KJ78" s="421"/>
      <c r="KK78" s="421"/>
      <c r="KL78" s="708"/>
      <c r="KM78" s="708"/>
      <c r="KN78" s="2525"/>
      <c r="KO78" s="2525"/>
      <c r="KP78" s="2525"/>
      <c r="KQ78" s="2525"/>
      <c r="KR78" s="2525"/>
      <c r="KS78" s="2525"/>
      <c r="KT78" s="2525"/>
      <c r="KU78" s="2525"/>
      <c r="KV78" s="2525"/>
      <c r="KW78" s="2525"/>
      <c r="KX78" s="2525"/>
      <c r="KY78" s="2525"/>
      <c r="KZ78" s="2525"/>
      <c r="LA78" s="2525"/>
      <c r="LB78" s="2525"/>
      <c r="LC78" s="2525"/>
      <c r="LD78" s="2525"/>
      <c r="LE78" s="2525"/>
      <c r="LF78" s="2525"/>
      <c r="LG78" s="2525"/>
      <c r="LH78" s="2525"/>
      <c r="LI78" s="2525"/>
      <c r="LJ78" s="2525"/>
      <c r="LK78" s="2525"/>
      <c r="LL78" s="2525"/>
      <c r="LM78" s="2525"/>
      <c r="LN78" s="2525"/>
      <c r="LO78" s="2525"/>
      <c r="LP78" s="2525"/>
      <c r="LQ78" s="2525"/>
      <c r="LR78" s="2525"/>
    </row>
    <row r="79" spans="1:330">
      <c r="A79" s="2525"/>
      <c r="B79" s="2525"/>
      <c r="C79" s="2525"/>
      <c r="D79" s="2525"/>
      <c r="E79" s="2525"/>
      <c r="F79" s="2525"/>
      <c r="G79" s="2525"/>
      <c r="H79" s="2525"/>
      <c r="I79" s="2525"/>
      <c r="J79" s="2525"/>
      <c r="K79" s="2525"/>
      <c r="L79" s="2525"/>
      <c r="M79" s="2525"/>
      <c r="N79" s="2525"/>
      <c r="O79" s="2525"/>
      <c r="P79" s="2525"/>
      <c r="Q79" s="2525"/>
      <c r="R79" s="2525"/>
      <c r="S79" s="2525"/>
      <c r="T79" s="2525"/>
      <c r="U79" s="2525"/>
      <c r="V79" s="2525"/>
      <c r="W79" s="2525"/>
      <c r="X79" s="2525"/>
      <c r="Y79" s="2525"/>
      <c r="Z79" s="2525"/>
      <c r="AA79" s="2525"/>
      <c r="AB79" s="2525"/>
      <c r="AC79" s="2525"/>
      <c r="AD79" s="2525"/>
      <c r="AE79" s="2525"/>
      <c r="AF79" s="2525"/>
      <c r="AG79" s="2525"/>
      <c r="AH79" s="2525"/>
      <c r="AI79" s="2525"/>
      <c r="AJ79" s="2525"/>
      <c r="AK79" s="2525"/>
      <c r="AL79" s="2525"/>
      <c r="AM79" s="2525"/>
      <c r="AN79" s="2525"/>
      <c r="AO79" s="2525"/>
      <c r="AP79" s="2525"/>
      <c r="AQ79" s="2525"/>
      <c r="AR79" s="2525"/>
      <c r="AS79" s="2525"/>
      <c r="AT79" s="2525"/>
      <c r="AU79" s="2525"/>
      <c r="AV79" s="2525"/>
      <c r="AW79" s="2525"/>
      <c r="AX79" s="2525"/>
      <c r="AY79" s="2525"/>
      <c r="AZ79" s="2525"/>
      <c r="BA79" s="2525"/>
      <c r="BB79" s="2525"/>
      <c r="BC79" s="2525"/>
      <c r="BD79" s="2525"/>
      <c r="BE79" s="2525"/>
      <c r="BF79" s="2525"/>
      <c r="BG79" s="2525"/>
      <c r="BH79" s="2525"/>
      <c r="BI79" s="2525"/>
      <c r="BJ79" s="2525"/>
      <c r="BK79" s="2525"/>
      <c r="BL79" s="2525"/>
      <c r="BM79" s="2525"/>
      <c r="BN79" s="2525"/>
      <c r="BO79" s="2525"/>
      <c r="BP79" s="2525"/>
      <c r="BQ79" s="2525"/>
      <c r="BR79" s="2525"/>
      <c r="BS79" s="2525"/>
      <c r="BT79" s="2525"/>
      <c r="BU79" s="2525"/>
      <c r="BV79" s="2525"/>
      <c r="BW79" s="2525"/>
      <c r="BX79" s="2525"/>
      <c r="BY79" s="2525"/>
      <c r="BZ79" s="2525"/>
      <c r="CA79" s="2525"/>
      <c r="CB79" s="2525"/>
      <c r="CC79" s="2525"/>
      <c r="CD79" s="2525"/>
      <c r="CE79" s="2525"/>
      <c r="CF79" s="2525"/>
      <c r="CG79" s="2525"/>
      <c r="CH79" s="2525"/>
      <c r="CI79" s="2525"/>
      <c r="CJ79" s="2525"/>
      <c r="CK79" s="2525"/>
      <c r="CL79" s="2525"/>
      <c r="CM79" s="2525"/>
      <c r="CN79" s="2525"/>
      <c r="CO79" s="2525"/>
      <c r="CP79" s="2525"/>
      <c r="CQ79" s="2525"/>
      <c r="CR79" s="2525"/>
      <c r="CS79" s="2525"/>
      <c r="CT79" s="2525"/>
      <c r="CU79" s="2525"/>
      <c r="CV79" s="2525"/>
      <c r="CW79" s="2525"/>
      <c r="CX79" s="2525"/>
      <c r="CY79" s="2525"/>
      <c r="CZ79" s="2525"/>
      <c r="DA79" s="2525"/>
      <c r="DB79" s="2525"/>
      <c r="DC79" s="2525"/>
      <c r="DD79" s="2525"/>
      <c r="DE79" s="2525"/>
      <c r="DF79" s="2525"/>
      <c r="DG79" s="2525"/>
      <c r="DH79" s="2525"/>
      <c r="DI79" s="2525"/>
      <c r="DJ79" s="2525"/>
      <c r="DK79" s="2525"/>
      <c r="DL79" s="2525"/>
      <c r="DM79" s="2525"/>
      <c r="DN79" s="2525"/>
      <c r="DO79" s="2525"/>
      <c r="DP79" s="2525"/>
      <c r="DQ79" s="2525"/>
      <c r="DR79" s="2525"/>
      <c r="DS79" s="2525"/>
      <c r="DT79" s="2525"/>
      <c r="DU79" s="2525"/>
      <c r="DV79" s="2525"/>
      <c r="DW79" s="2525"/>
      <c r="DX79" s="2525"/>
      <c r="DY79" s="2525"/>
      <c r="DZ79" s="2525"/>
      <c r="EA79" s="2525"/>
      <c r="EB79" s="2525"/>
      <c r="EC79" s="2525"/>
      <c r="ED79" s="2525"/>
      <c r="EE79" s="2525"/>
      <c r="EF79" s="2525"/>
      <c r="EG79" s="2525"/>
      <c r="EH79" s="2525"/>
      <c r="EI79" s="2525"/>
      <c r="EJ79" s="2525"/>
      <c r="EK79" s="2525"/>
      <c r="EL79" s="2525"/>
      <c r="EM79" s="2525"/>
      <c r="EN79" s="2525"/>
      <c r="EO79" s="2525"/>
      <c r="EP79" s="2525"/>
      <c r="EQ79" s="2525"/>
      <c r="ER79" s="2525"/>
      <c r="ES79" s="2525"/>
      <c r="ET79" s="2525"/>
      <c r="EU79" s="2525"/>
      <c r="EV79" s="2525"/>
      <c r="EW79" s="2525"/>
      <c r="EX79" s="2525"/>
      <c r="EY79" s="2525"/>
      <c r="EZ79" s="2525"/>
      <c r="FA79" s="2525"/>
      <c r="FB79" s="2525"/>
      <c r="FC79" s="2525"/>
      <c r="FD79" s="708"/>
      <c r="FE79" s="708"/>
      <c r="FF79" s="708"/>
      <c r="FG79" s="708"/>
      <c r="FH79" s="708"/>
      <c r="FI79" s="708"/>
      <c r="FJ79" s="708"/>
      <c r="FK79" s="708"/>
      <c r="FL79" s="708"/>
      <c r="FM79" s="708"/>
      <c r="FN79" s="708"/>
      <c r="FO79" s="708"/>
      <c r="FP79" s="708"/>
      <c r="FQ79" s="708"/>
      <c r="FR79" s="708"/>
      <c r="FS79" s="708"/>
      <c r="FT79" s="708"/>
      <c r="FU79" s="708"/>
      <c r="FV79" s="708"/>
      <c r="FW79" s="708"/>
      <c r="FX79" s="708"/>
      <c r="FY79" s="708"/>
      <c r="FZ79" s="708"/>
      <c r="GA79" s="708"/>
      <c r="GB79" s="708"/>
      <c r="GC79" s="708"/>
      <c r="GD79" s="708"/>
      <c r="GE79" s="708"/>
      <c r="GF79" s="708"/>
      <c r="GG79" s="708"/>
      <c r="GH79" s="708"/>
      <c r="GI79" s="708"/>
      <c r="GJ79" s="708"/>
      <c r="GK79" s="708"/>
      <c r="GL79" s="708"/>
      <c r="GM79" s="708"/>
      <c r="GN79" s="708"/>
      <c r="GO79" s="708"/>
      <c r="GP79" s="708"/>
      <c r="GQ79" s="708"/>
      <c r="GR79" s="708"/>
      <c r="GS79" s="708"/>
      <c r="GT79" s="708"/>
      <c r="GU79" s="708"/>
      <c r="GV79" s="708"/>
      <c r="GW79" s="708"/>
      <c r="GX79" s="708"/>
      <c r="GY79" s="708"/>
      <c r="GZ79" s="708"/>
      <c r="HA79" s="708"/>
      <c r="HB79" s="708"/>
      <c r="HC79" s="708"/>
      <c r="HD79" s="708"/>
      <c r="HE79" s="708"/>
      <c r="HF79" s="708"/>
      <c r="HG79" s="708"/>
      <c r="HH79" s="708"/>
      <c r="HI79" s="708"/>
      <c r="HJ79" s="708"/>
      <c r="HK79" s="708"/>
      <c r="HL79" s="708"/>
      <c r="HM79" s="708"/>
      <c r="HN79" s="708"/>
      <c r="HO79" s="708"/>
      <c r="HP79" s="708"/>
      <c r="HQ79" s="708"/>
      <c r="HR79" s="708"/>
      <c r="HS79" s="708"/>
      <c r="HT79" s="708"/>
      <c r="HU79" s="708"/>
      <c r="HV79" s="708"/>
      <c r="HW79" s="708"/>
      <c r="HX79" s="708"/>
      <c r="HY79" s="708"/>
      <c r="HZ79" s="708"/>
      <c r="IA79" s="708"/>
      <c r="IB79" s="708"/>
      <c r="IC79" s="708"/>
      <c r="ID79" s="708"/>
      <c r="IE79" s="708"/>
      <c r="IF79" s="708"/>
      <c r="IG79" s="708"/>
      <c r="IH79" s="708"/>
      <c r="II79" s="708"/>
      <c r="IJ79" s="708"/>
      <c r="IK79" s="708"/>
      <c r="IL79" s="708"/>
      <c r="IM79" s="708"/>
      <c r="IN79" s="708"/>
      <c r="IO79" s="708"/>
      <c r="IP79" s="708"/>
      <c r="IQ79" s="708"/>
      <c r="IR79" s="708"/>
      <c r="IS79" s="708"/>
      <c r="IT79" s="708"/>
      <c r="IU79" s="708"/>
      <c r="IV79" s="708"/>
      <c r="IW79" s="708"/>
      <c r="IX79" s="708"/>
      <c r="IY79" s="708"/>
      <c r="IZ79" s="708"/>
      <c r="JA79" s="708"/>
      <c r="JB79" s="2525"/>
      <c r="JC79" s="2525"/>
      <c r="JD79" s="2525"/>
      <c r="JE79" s="2525"/>
      <c r="JF79" s="2525"/>
      <c r="JG79" s="2525"/>
      <c r="JH79" s="2525"/>
      <c r="JI79" s="2525"/>
      <c r="JJ79" s="2525"/>
      <c r="JK79" s="2525"/>
      <c r="JL79" s="2525"/>
      <c r="JM79" s="2525"/>
      <c r="JN79" s="2525"/>
      <c r="JO79" s="2525"/>
      <c r="JP79" s="2525"/>
      <c r="JQ79" s="2525"/>
      <c r="JS79" s="2525"/>
      <c r="JT79" s="2525"/>
      <c r="JU79" s="2525"/>
      <c r="JV79" s="2525"/>
      <c r="JW79" s="2525"/>
      <c r="JX79" s="2525"/>
      <c r="JY79" s="2525"/>
      <c r="JZ79" s="2525"/>
      <c r="KA79" s="708"/>
      <c r="KB79" s="708"/>
      <c r="KC79" s="708"/>
      <c r="KD79" s="708"/>
      <c r="KE79" s="708"/>
      <c r="KF79" s="708"/>
      <c r="KG79" s="708"/>
      <c r="KH79" s="708"/>
      <c r="KI79" s="708"/>
      <c r="KJ79" s="421"/>
      <c r="KK79" s="421"/>
      <c r="KL79" s="708"/>
      <c r="KM79" s="708"/>
      <c r="KN79" s="2525"/>
      <c r="KO79" s="2525"/>
      <c r="KP79" s="2525"/>
      <c r="KQ79" s="2525"/>
      <c r="KR79" s="2525"/>
      <c r="KS79" s="2525"/>
      <c r="KT79" s="2525"/>
      <c r="KU79" s="2525"/>
      <c r="KV79" s="2525"/>
      <c r="KW79" s="2525"/>
      <c r="KX79" s="2525"/>
      <c r="KY79" s="2525"/>
      <c r="KZ79" s="2525"/>
      <c r="LA79" s="2525"/>
      <c r="LB79" s="2525"/>
      <c r="LC79" s="2525"/>
      <c r="LD79" s="2525"/>
      <c r="LE79" s="2525"/>
      <c r="LF79" s="2525"/>
      <c r="LG79" s="2525"/>
      <c r="LH79" s="2525"/>
      <c r="LI79" s="2525"/>
      <c r="LJ79" s="2525"/>
      <c r="LK79" s="2525"/>
      <c r="LL79" s="2525"/>
      <c r="LM79" s="2525"/>
      <c r="LN79" s="2525"/>
      <c r="LO79" s="2525"/>
      <c r="LP79" s="2525"/>
      <c r="LQ79" s="2525"/>
      <c r="LR79" s="2525"/>
    </row>
    <row r="80" spans="1:330">
      <c r="A80" s="2525"/>
      <c r="B80" s="2525"/>
      <c r="C80" s="2525"/>
      <c r="D80" s="2525"/>
      <c r="E80" s="2525"/>
      <c r="F80" s="2525"/>
      <c r="G80" s="2525"/>
      <c r="H80" s="2525"/>
      <c r="I80" s="2525"/>
      <c r="J80" s="2525"/>
      <c r="K80" s="2525"/>
      <c r="L80" s="2525"/>
      <c r="M80" s="2525"/>
      <c r="N80" s="2525"/>
      <c r="O80" s="2525"/>
      <c r="P80" s="2525"/>
      <c r="Q80" s="2525"/>
      <c r="R80" s="2525"/>
      <c r="S80" s="2525"/>
      <c r="T80" s="2525"/>
      <c r="U80" s="2525"/>
      <c r="V80" s="2525"/>
      <c r="W80" s="2525"/>
      <c r="X80" s="2525"/>
      <c r="Y80" s="2525"/>
      <c r="Z80" s="2525"/>
      <c r="AA80" s="2525"/>
      <c r="AB80" s="2525"/>
      <c r="AC80" s="2525"/>
      <c r="AD80" s="2525"/>
      <c r="AE80" s="2525"/>
      <c r="AF80" s="2525"/>
      <c r="AG80" s="2525"/>
      <c r="AH80" s="2525"/>
      <c r="AI80" s="2525"/>
      <c r="AJ80" s="2525"/>
      <c r="AK80" s="2525"/>
      <c r="AL80" s="2525"/>
      <c r="AM80" s="2525"/>
      <c r="AN80" s="2525"/>
      <c r="AO80" s="2525"/>
      <c r="AP80" s="2525"/>
      <c r="AQ80" s="2525"/>
      <c r="AR80" s="2525"/>
      <c r="AS80" s="2525"/>
      <c r="AT80" s="2525"/>
      <c r="AU80" s="2525"/>
      <c r="AV80" s="2525"/>
      <c r="AW80" s="2525"/>
      <c r="AX80" s="2525"/>
      <c r="AY80" s="2525"/>
      <c r="AZ80" s="2525"/>
      <c r="BA80" s="2525"/>
      <c r="BB80" s="2525"/>
      <c r="BC80" s="2525"/>
      <c r="BD80" s="2525"/>
      <c r="BE80" s="2525"/>
      <c r="BF80" s="2525"/>
      <c r="BG80" s="2525"/>
      <c r="BH80" s="2525"/>
      <c r="BI80" s="2525"/>
      <c r="BJ80" s="2525"/>
      <c r="BK80" s="2525"/>
      <c r="BL80" s="2525"/>
      <c r="BM80" s="2525"/>
      <c r="BN80" s="2525"/>
      <c r="BO80" s="2525"/>
      <c r="BP80" s="2525"/>
      <c r="BQ80" s="2525"/>
      <c r="BR80" s="2525"/>
      <c r="BS80" s="2525"/>
      <c r="BT80" s="2525"/>
      <c r="BU80" s="2525"/>
      <c r="BV80" s="2525"/>
      <c r="BW80" s="2525"/>
      <c r="BX80" s="2525"/>
      <c r="BY80" s="2525"/>
      <c r="BZ80" s="2525"/>
      <c r="CA80" s="2525"/>
      <c r="CB80" s="2525"/>
      <c r="CC80" s="2525"/>
      <c r="CD80" s="2525"/>
      <c r="CE80" s="2525"/>
      <c r="CF80" s="2525"/>
      <c r="CG80" s="2525"/>
      <c r="CH80" s="2525"/>
      <c r="CI80" s="2525"/>
      <c r="CJ80" s="2525"/>
      <c r="CK80" s="2525"/>
      <c r="CL80" s="2525"/>
      <c r="CM80" s="2525"/>
      <c r="CN80" s="2525"/>
      <c r="CO80" s="2525"/>
      <c r="CP80" s="2525"/>
      <c r="CQ80" s="2525"/>
      <c r="CR80" s="2525"/>
      <c r="CS80" s="2525"/>
      <c r="CT80" s="2525"/>
      <c r="CU80" s="2525"/>
      <c r="CV80" s="2525"/>
      <c r="CW80" s="2525"/>
      <c r="CX80" s="2525"/>
      <c r="CY80" s="2525"/>
      <c r="CZ80" s="2525"/>
      <c r="DA80" s="2525"/>
      <c r="DB80" s="2525"/>
      <c r="DC80" s="2525"/>
      <c r="DD80" s="2525"/>
      <c r="DE80" s="2525"/>
      <c r="DF80" s="2525"/>
      <c r="DG80" s="2525"/>
      <c r="DH80" s="2525"/>
      <c r="DI80" s="2525"/>
      <c r="DJ80" s="2525"/>
      <c r="DK80" s="2525"/>
      <c r="DL80" s="2525"/>
      <c r="DM80" s="2525"/>
      <c r="DN80" s="2525"/>
      <c r="DO80" s="2525"/>
      <c r="DP80" s="2525"/>
      <c r="DQ80" s="2525"/>
      <c r="DR80" s="2525"/>
      <c r="DS80" s="2525"/>
      <c r="DT80" s="2525"/>
      <c r="DU80" s="2525"/>
      <c r="DV80" s="2525"/>
      <c r="DW80" s="2525"/>
      <c r="DX80" s="2525"/>
      <c r="DY80" s="2525"/>
      <c r="DZ80" s="2525"/>
      <c r="EA80" s="2525"/>
      <c r="EB80" s="2525"/>
      <c r="EC80" s="2525"/>
      <c r="ED80" s="2525"/>
      <c r="EE80" s="2525"/>
      <c r="EF80" s="2525"/>
      <c r="EG80" s="2525"/>
      <c r="EH80" s="2525"/>
      <c r="EI80" s="2525"/>
      <c r="EJ80" s="2525"/>
      <c r="EK80" s="2525"/>
      <c r="EL80" s="2525"/>
      <c r="EM80" s="2525"/>
      <c r="EN80" s="2525"/>
      <c r="EO80" s="2525"/>
      <c r="EP80" s="2525"/>
      <c r="EQ80" s="2525"/>
      <c r="ER80" s="2525"/>
      <c r="ES80" s="2525"/>
      <c r="ET80" s="2525"/>
      <c r="EU80" s="2525"/>
      <c r="EV80" s="2525"/>
      <c r="EW80" s="2525"/>
      <c r="EX80" s="2525"/>
      <c r="EY80" s="2525"/>
      <c r="EZ80" s="2525"/>
      <c r="FA80" s="2525"/>
      <c r="FB80" s="2525"/>
      <c r="FC80" s="2525"/>
      <c r="FD80" s="708"/>
      <c r="FE80" s="708"/>
      <c r="FF80" s="708"/>
      <c r="FG80" s="708"/>
      <c r="FH80" s="708"/>
      <c r="FI80" s="708"/>
      <c r="FJ80" s="708"/>
      <c r="FK80" s="708"/>
      <c r="FL80" s="708"/>
      <c r="FM80" s="708"/>
      <c r="FN80" s="708"/>
      <c r="FO80" s="708"/>
      <c r="FP80" s="708"/>
      <c r="FQ80" s="708"/>
      <c r="FR80" s="708"/>
      <c r="FS80" s="708"/>
      <c r="FT80" s="708"/>
      <c r="FU80" s="708"/>
      <c r="FV80" s="708"/>
      <c r="FW80" s="708"/>
      <c r="FX80" s="708"/>
      <c r="FY80" s="708"/>
      <c r="FZ80" s="708"/>
      <c r="GA80" s="708"/>
      <c r="GB80" s="708"/>
      <c r="GC80" s="708"/>
      <c r="GD80" s="708"/>
      <c r="GE80" s="708"/>
      <c r="GF80" s="708"/>
      <c r="GG80" s="708"/>
      <c r="GH80" s="708"/>
      <c r="GI80" s="708"/>
      <c r="GJ80" s="708"/>
      <c r="GK80" s="708"/>
      <c r="GL80" s="708"/>
      <c r="GM80" s="708"/>
      <c r="GN80" s="708"/>
      <c r="GO80" s="708"/>
      <c r="GP80" s="708"/>
      <c r="GQ80" s="708"/>
      <c r="GR80" s="708"/>
      <c r="GS80" s="708"/>
      <c r="GT80" s="708"/>
      <c r="GU80" s="708"/>
      <c r="GV80" s="708"/>
      <c r="GW80" s="708"/>
      <c r="GX80" s="708"/>
      <c r="GY80" s="708"/>
      <c r="GZ80" s="708"/>
      <c r="HA80" s="708"/>
      <c r="HB80" s="708"/>
      <c r="HC80" s="708"/>
      <c r="HD80" s="708"/>
      <c r="HE80" s="708"/>
      <c r="HF80" s="708"/>
      <c r="HG80" s="708"/>
      <c r="HH80" s="708"/>
      <c r="HI80" s="708"/>
      <c r="HJ80" s="708"/>
      <c r="HK80" s="708"/>
      <c r="HL80" s="708"/>
      <c r="HM80" s="708"/>
      <c r="HN80" s="708"/>
      <c r="HO80" s="708"/>
      <c r="HP80" s="708"/>
      <c r="HQ80" s="708"/>
      <c r="HR80" s="708"/>
      <c r="HS80" s="708"/>
      <c r="HT80" s="708"/>
      <c r="HU80" s="708"/>
      <c r="HV80" s="708"/>
      <c r="HW80" s="708"/>
      <c r="HX80" s="708"/>
      <c r="HY80" s="708"/>
      <c r="HZ80" s="708"/>
      <c r="IA80" s="708"/>
      <c r="IB80" s="708"/>
      <c r="IC80" s="708"/>
      <c r="ID80" s="708"/>
      <c r="IE80" s="708"/>
      <c r="IF80" s="708"/>
      <c r="IG80" s="708"/>
      <c r="IH80" s="708"/>
      <c r="II80" s="708"/>
      <c r="IJ80" s="708"/>
      <c r="IK80" s="708"/>
      <c r="IL80" s="708"/>
      <c r="IM80" s="708"/>
      <c r="IN80" s="708"/>
      <c r="IO80" s="708"/>
      <c r="IP80" s="708"/>
      <c r="IQ80" s="708"/>
      <c r="IR80" s="708"/>
      <c r="IS80" s="708"/>
      <c r="IT80" s="708"/>
      <c r="IU80" s="708"/>
      <c r="IV80" s="708"/>
      <c r="IW80" s="708"/>
      <c r="IX80" s="708"/>
      <c r="IY80" s="708"/>
      <c r="IZ80" s="708"/>
      <c r="JA80" s="708"/>
      <c r="JB80" s="2525"/>
      <c r="JC80" s="2525"/>
      <c r="JD80" s="2525"/>
      <c r="JE80" s="2525"/>
      <c r="JF80" s="2525"/>
      <c r="JG80" s="2525"/>
      <c r="JH80" s="2525"/>
      <c r="JI80" s="2525"/>
      <c r="JJ80" s="2525"/>
      <c r="JK80" s="2525"/>
      <c r="JL80" s="2525"/>
      <c r="JM80" s="2525"/>
      <c r="JN80" s="2525"/>
      <c r="JO80" s="2525"/>
      <c r="JP80" s="2525"/>
      <c r="JQ80" s="2525"/>
      <c r="JS80" s="2525"/>
      <c r="JT80" s="2525"/>
      <c r="JU80" s="2525"/>
      <c r="JV80" s="2525"/>
      <c r="JW80" s="2525"/>
      <c r="JX80" s="2525"/>
      <c r="JY80" s="2525"/>
      <c r="JZ80" s="2525"/>
      <c r="KA80" s="708"/>
      <c r="KB80" s="708"/>
      <c r="KC80" s="708"/>
      <c r="KD80" s="708"/>
      <c r="KE80" s="708"/>
      <c r="KF80" s="708"/>
      <c r="KG80" s="708"/>
      <c r="KH80" s="708"/>
      <c r="KI80" s="708"/>
      <c r="KJ80" s="421"/>
      <c r="KK80" s="421"/>
      <c r="KL80" s="708"/>
      <c r="KM80" s="708"/>
      <c r="KN80" s="2525"/>
      <c r="KO80" s="2525"/>
      <c r="KP80" s="2525"/>
      <c r="KQ80" s="2525"/>
      <c r="KR80" s="2525"/>
      <c r="KS80" s="2525"/>
      <c r="KT80" s="2525"/>
      <c r="KU80" s="2525"/>
      <c r="KV80" s="2525"/>
      <c r="KW80" s="2525"/>
      <c r="KX80" s="2525"/>
      <c r="KY80" s="2525"/>
      <c r="KZ80" s="2525"/>
      <c r="LA80" s="2525"/>
      <c r="LB80" s="2525"/>
      <c r="LC80" s="2525"/>
      <c r="LD80" s="2525"/>
      <c r="LE80" s="2525"/>
      <c r="LF80" s="2525"/>
      <c r="LG80" s="2525"/>
      <c r="LH80" s="2525"/>
      <c r="LI80" s="2525"/>
      <c r="LJ80" s="2525"/>
      <c r="LK80" s="2525"/>
      <c r="LL80" s="2525"/>
      <c r="LM80" s="2525"/>
      <c r="LN80" s="2525"/>
      <c r="LO80" s="2525"/>
      <c r="LP80" s="2525"/>
      <c r="LQ80" s="2525"/>
      <c r="LR80" s="2525"/>
    </row>
    <row r="81" spans="1:330">
      <c r="A81" s="2525"/>
      <c r="B81" s="2525"/>
      <c r="C81" s="2525"/>
      <c r="D81" s="2525"/>
      <c r="E81" s="2525"/>
      <c r="F81" s="2525"/>
      <c r="G81" s="2525"/>
      <c r="H81" s="2525"/>
      <c r="I81" s="2525"/>
      <c r="J81" s="2525"/>
      <c r="K81" s="2525"/>
      <c r="L81" s="2525"/>
      <c r="M81" s="2525"/>
      <c r="N81" s="2525"/>
      <c r="O81" s="2525"/>
      <c r="P81" s="2525"/>
      <c r="Q81" s="2525"/>
      <c r="R81" s="2525"/>
      <c r="S81" s="2525"/>
      <c r="T81" s="2525"/>
      <c r="U81" s="2525"/>
      <c r="V81" s="2525"/>
      <c r="W81" s="2525"/>
      <c r="X81" s="2525"/>
      <c r="Y81" s="2525"/>
      <c r="Z81" s="2525"/>
      <c r="AA81" s="2525"/>
      <c r="AB81" s="2525"/>
      <c r="AC81" s="2525"/>
      <c r="AD81" s="2525"/>
      <c r="AE81" s="2525"/>
      <c r="AF81" s="2525"/>
      <c r="AG81" s="2525"/>
      <c r="AH81" s="2525"/>
      <c r="AI81" s="2525"/>
      <c r="AJ81" s="2525"/>
      <c r="AK81" s="2525"/>
      <c r="AL81" s="2525"/>
      <c r="AM81" s="2525"/>
      <c r="AN81" s="2525"/>
      <c r="AO81" s="2525"/>
      <c r="AP81" s="2525"/>
      <c r="AQ81" s="2525"/>
      <c r="AR81" s="2525"/>
      <c r="AS81" s="2525"/>
      <c r="AT81" s="2525"/>
      <c r="AU81" s="2525"/>
      <c r="AV81" s="2525"/>
      <c r="AW81" s="2525"/>
      <c r="AX81" s="2525"/>
      <c r="AY81" s="2525"/>
      <c r="AZ81" s="2525"/>
      <c r="BA81" s="2525"/>
      <c r="BB81" s="2525"/>
      <c r="BC81" s="2525"/>
      <c r="BD81" s="2525"/>
      <c r="BE81" s="2525"/>
      <c r="BF81" s="2525"/>
      <c r="BG81" s="2525"/>
      <c r="BH81" s="2525"/>
      <c r="BI81" s="2525"/>
      <c r="BJ81" s="2525"/>
      <c r="BK81" s="2525"/>
      <c r="BL81" s="2525"/>
      <c r="BM81" s="2525"/>
      <c r="BN81" s="2525"/>
      <c r="BO81" s="2525"/>
      <c r="BP81" s="2525"/>
      <c r="BQ81" s="2525"/>
      <c r="BR81" s="2525"/>
      <c r="BS81" s="2525"/>
      <c r="BT81" s="2525"/>
      <c r="BU81" s="2525"/>
      <c r="BV81" s="2525"/>
      <c r="BW81" s="2525"/>
      <c r="BX81" s="2525"/>
      <c r="BY81" s="2525"/>
      <c r="BZ81" s="2525"/>
      <c r="CA81" s="2525"/>
      <c r="CB81" s="2525"/>
      <c r="CC81" s="2525"/>
      <c r="CD81" s="2525"/>
      <c r="CE81" s="2525"/>
      <c r="CF81" s="2525"/>
      <c r="CG81" s="2525"/>
      <c r="CH81" s="2525"/>
      <c r="CI81" s="2525"/>
      <c r="CJ81" s="2525"/>
      <c r="CK81" s="2525"/>
      <c r="CL81" s="2525"/>
      <c r="CM81" s="2525"/>
      <c r="CN81" s="2525"/>
      <c r="CO81" s="2525"/>
      <c r="CP81" s="2525"/>
      <c r="CQ81" s="2525"/>
      <c r="CR81" s="2525"/>
      <c r="CS81" s="2525"/>
      <c r="CT81" s="2525"/>
      <c r="CU81" s="2525"/>
      <c r="CV81" s="2525"/>
      <c r="CW81" s="2525"/>
      <c r="CX81" s="2525"/>
      <c r="CY81" s="2525"/>
      <c r="CZ81" s="2525"/>
      <c r="DA81" s="2525"/>
      <c r="DB81" s="2525"/>
      <c r="DC81" s="2525"/>
      <c r="DD81" s="2525"/>
      <c r="DE81" s="2525"/>
      <c r="DF81" s="2525"/>
      <c r="DG81" s="2525"/>
      <c r="DH81" s="2525"/>
      <c r="DI81" s="2525"/>
      <c r="DJ81" s="2525"/>
      <c r="DK81" s="2525"/>
      <c r="DL81" s="2525"/>
      <c r="DM81" s="2525"/>
      <c r="DN81" s="2525"/>
      <c r="DO81" s="2525"/>
      <c r="DP81" s="2525"/>
      <c r="DQ81" s="2525"/>
      <c r="DR81" s="2525"/>
      <c r="DS81" s="2525"/>
      <c r="DT81" s="2525"/>
      <c r="DU81" s="2525"/>
      <c r="DV81" s="2525"/>
      <c r="DW81" s="2525"/>
      <c r="DX81" s="2525"/>
      <c r="DY81" s="2525"/>
      <c r="DZ81" s="2525"/>
      <c r="EA81" s="2525"/>
      <c r="EB81" s="2525"/>
      <c r="EC81" s="2525"/>
      <c r="ED81" s="2525"/>
      <c r="EE81" s="2525"/>
      <c r="EF81" s="2525"/>
      <c r="EG81" s="2525"/>
      <c r="EH81" s="2525"/>
      <c r="EI81" s="2525"/>
      <c r="EJ81" s="2525"/>
      <c r="EK81" s="2525"/>
      <c r="EL81" s="2525"/>
      <c r="EM81" s="2525"/>
      <c r="EN81" s="2525"/>
      <c r="EO81" s="2525"/>
      <c r="EP81" s="2525"/>
      <c r="EQ81" s="2525"/>
      <c r="ER81" s="2525"/>
      <c r="ES81" s="2525"/>
      <c r="ET81" s="2525"/>
      <c r="EU81" s="2525"/>
      <c r="EV81" s="2525"/>
      <c r="EW81" s="2525"/>
      <c r="EX81" s="2525"/>
      <c r="EY81" s="2525"/>
      <c r="EZ81" s="2525"/>
      <c r="FA81" s="2525"/>
      <c r="FB81" s="2525"/>
      <c r="FC81" s="2525"/>
      <c r="FD81" s="708"/>
      <c r="FE81" s="708"/>
      <c r="FF81" s="708"/>
      <c r="FG81" s="708"/>
      <c r="FH81" s="708"/>
      <c r="FI81" s="708"/>
      <c r="FJ81" s="708"/>
      <c r="FK81" s="708"/>
      <c r="FL81" s="708"/>
      <c r="FM81" s="708"/>
      <c r="FN81" s="708"/>
      <c r="FO81" s="708"/>
      <c r="FP81" s="708"/>
      <c r="FQ81" s="708"/>
      <c r="FR81" s="708"/>
      <c r="FS81" s="708"/>
      <c r="FT81" s="708"/>
      <c r="FU81" s="708"/>
      <c r="FV81" s="708"/>
      <c r="FW81" s="708"/>
      <c r="FX81" s="708"/>
      <c r="FY81" s="708"/>
      <c r="FZ81" s="708"/>
      <c r="GA81" s="708"/>
      <c r="GB81" s="708"/>
      <c r="GC81" s="708"/>
      <c r="GD81" s="708"/>
      <c r="GE81" s="708"/>
      <c r="GF81" s="708"/>
      <c r="GG81" s="708"/>
      <c r="GH81" s="708"/>
      <c r="GI81" s="708"/>
      <c r="GJ81" s="708"/>
      <c r="GK81" s="708"/>
      <c r="GL81" s="708"/>
      <c r="GM81" s="708"/>
      <c r="GN81" s="708"/>
      <c r="GO81" s="708"/>
      <c r="GP81" s="708"/>
      <c r="GQ81" s="708"/>
      <c r="GR81" s="708"/>
      <c r="GS81" s="708"/>
      <c r="GT81" s="708"/>
      <c r="GU81" s="708"/>
      <c r="GV81" s="708"/>
      <c r="GW81" s="708"/>
      <c r="GX81" s="708"/>
      <c r="GY81" s="708"/>
      <c r="GZ81" s="708"/>
      <c r="HA81" s="708"/>
      <c r="HB81" s="708"/>
      <c r="HC81" s="708"/>
      <c r="HD81" s="708"/>
      <c r="HE81" s="708"/>
      <c r="HF81" s="708"/>
      <c r="HG81" s="708"/>
      <c r="HH81" s="708"/>
      <c r="HI81" s="708"/>
      <c r="HJ81" s="708"/>
      <c r="HK81" s="708"/>
      <c r="HL81" s="708"/>
      <c r="HM81" s="708"/>
      <c r="HN81" s="708"/>
      <c r="HO81" s="708"/>
      <c r="HP81" s="708"/>
      <c r="HQ81" s="708"/>
      <c r="HR81" s="708"/>
      <c r="HS81" s="708"/>
      <c r="HT81" s="708"/>
      <c r="HU81" s="708"/>
      <c r="HV81" s="708"/>
      <c r="HW81" s="708"/>
      <c r="HX81" s="708"/>
      <c r="HY81" s="708"/>
      <c r="HZ81" s="708"/>
      <c r="IA81" s="708"/>
      <c r="IB81" s="708"/>
      <c r="IC81" s="708"/>
      <c r="ID81" s="708"/>
      <c r="IE81" s="708"/>
      <c r="IF81" s="708"/>
      <c r="IG81" s="708"/>
      <c r="IH81" s="708"/>
      <c r="II81" s="708"/>
      <c r="IJ81" s="708"/>
      <c r="IK81" s="708"/>
      <c r="IL81" s="708"/>
      <c r="IM81" s="708"/>
      <c r="IN81" s="708"/>
      <c r="IO81" s="708"/>
      <c r="IP81" s="708"/>
      <c r="IQ81" s="708"/>
      <c r="IR81" s="708"/>
      <c r="IS81" s="708"/>
      <c r="IT81" s="708"/>
      <c r="IU81" s="708"/>
      <c r="IV81" s="708"/>
      <c r="IW81" s="708"/>
      <c r="IX81" s="708"/>
      <c r="IY81" s="708"/>
      <c r="IZ81" s="708"/>
      <c r="JA81" s="708"/>
      <c r="JB81" s="2525"/>
      <c r="JC81" s="2525"/>
      <c r="JD81" s="2525"/>
      <c r="JE81" s="2525"/>
      <c r="JF81" s="2525"/>
      <c r="JG81" s="2525"/>
      <c r="JH81" s="2525"/>
      <c r="JI81" s="2525"/>
      <c r="JJ81" s="2525"/>
      <c r="JK81" s="2525"/>
      <c r="JL81" s="2525"/>
      <c r="JM81" s="2525"/>
      <c r="JN81" s="2525"/>
      <c r="JO81" s="2525"/>
      <c r="JP81" s="2525"/>
      <c r="JQ81" s="2525"/>
      <c r="JS81" s="2525"/>
      <c r="JT81" s="2525"/>
      <c r="JU81" s="2525"/>
      <c r="JV81" s="2525"/>
      <c r="JW81" s="2525"/>
      <c r="JX81" s="2525"/>
      <c r="JY81" s="2525"/>
      <c r="JZ81" s="2525"/>
      <c r="KA81" s="708"/>
      <c r="KB81" s="708"/>
      <c r="KC81" s="708"/>
      <c r="KD81" s="708"/>
      <c r="KE81" s="708"/>
      <c r="KF81" s="708"/>
      <c r="KG81" s="708"/>
      <c r="KH81" s="708"/>
      <c r="KI81" s="708"/>
      <c r="KJ81" s="421"/>
      <c r="KK81" s="421"/>
      <c r="KL81" s="708"/>
      <c r="KM81" s="708"/>
      <c r="KN81" s="2525"/>
      <c r="KO81" s="2525"/>
      <c r="KP81" s="2525"/>
      <c r="KQ81" s="2525"/>
      <c r="KR81" s="2525"/>
      <c r="KS81" s="2525"/>
      <c r="KT81" s="2525"/>
      <c r="KU81" s="2525"/>
      <c r="KV81" s="2525"/>
      <c r="KW81" s="2525"/>
      <c r="KX81" s="2525"/>
      <c r="KY81" s="2525"/>
      <c r="KZ81" s="2525"/>
      <c r="LA81" s="2525"/>
      <c r="LB81" s="2525"/>
      <c r="LC81" s="2525"/>
      <c r="LD81" s="2525"/>
      <c r="LE81" s="2525"/>
      <c r="LF81" s="2525"/>
      <c r="LG81" s="2525"/>
      <c r="LH81" s="2525"/>
      <c r="LI81" s="2525"/>
      <c r="LJ81" s="2525"/>
      <c r="LK81" s="2525"/>
      <c r="LL81" s="2525"/>
      <c r="LM81" s="2525"/>
      <c r="LN81" s="2525"/>
      <c r="LO81" s="2525"/>
      <c r="LP81" s="2525"/>
      <c r="LQ81" s="2525"/>
      <c r="LR81" s="2525"/>
    </row>
    <row r="82" spans="1:330">
      <c r="A82" s="2525"/>
      <c r="B82" s="2525"/>
      <c r="C82" s="2525"/>
      <c r="D82" s="2525"/>
      <c r="E82" s="2525"/>
      <c r="F82" s="2525"/>
      <c r="G82" s="2525"/>
      <c r="H82" s="2525"/>
      <c r="I82" s="2525"/>
      <c r="J82" s="2525"/>
      <c r="K82" s="2525"/>
      <c r="L82" s="2525"/>
      <c r="M82" s="2525"/>
      <c r="N82" s="2525"/>
      <c r="O82" s="2525"/>
      <c r="P82" s="2525"/>
      <c r="Q82" s="2525"/>
      <c r="R82" s="2525"/>
      <c r="S82" s="2525"/>
      <c r="T82" s="2525"/>
      <c r="U82" s="2525"/>
      <c r="V82" s="2525"/>
      <c r="W82" s="2525"/>
      <c r="X82" s="2525"/>
      <c r="Y82" s="2525"/>
      <c r="Z82" s="2525"/>
      <c r="AA82" s="2525"/>
      <c r="AB82" s="2525"/>
      <c r="AC82" s="2525"/>
      <c r="AD82" s="2525"/>
      <c r="AE82" s="2525"/>
      <c r="AF82" s="2525"/>
      <c r="AG82" s="2525"/>
      <c r="AH82" s="2525"/>
      <c r="AI82" s="2525"/>
      <c r="AJ82" s="2525"/>
      <c r="AK82" s="2525"/>
      <c r="AL82" s="2525"/>
      <c r="AM82" s="2525"/>
      <c r="AN82" s="2525"/>
      <c r="AO82" s="2525"/>
      <c r="AP82" s="2525"/>
      <c r="AQ82" s="2525"/>
      <c r="AR82" s="2525"/>
      <c r="AS82" s="2525"/>
      <c r="AT82" s="2525"/>
      <c r="AU82" s="2525"/>
      <c r="AV82" s="2525"/>
      <c r="AW82" s="2525"/>
      <c r="AX82" s="2525"/>
      <c r="AY82" s="2525"/>
      <c r="AZ82" s="2525"/>
      <c r="BA82" s="2525"/>
      <c r="BB82" s="2525"/>
      <c r="BC82" s="2525"/>
      <c r="BD82" s="2525"/>
      <c r="BE82" s="2525"/>
      <c r="BF82" s="2525"/>
      <c r="BG82" s="2525"/>
      <c r="BH82" s="2525"/>
      <c r="BI82" s="2525"/>
      <c r="BJ82" s="2525"/>
      <c r="BK82" s="2525"/>
      <c r="BL82" s="2525"/>
      <c r="BM82" s="2525"/>
      <c r="BN82" s="2525"/>
      <c r="BO82" s="2525"/>
      <c r="BP82" s="2525"/>
      <c r="BQ82" s="2525"/>
      <c r="BR82" s="2525"/>
      <c r="BS82" s="2525"/>
      <c r="BT82" s="2525"/>
      <c r="BU82" s="2525"/>
      <c r="BV82" s="2525"/>
      <c r="BW82" s="2525"/>
      <c r="BX82" s="2525"/>
      <c r="BY82" s="2525"/>
      <c r="BZ82" s="2525"/>
      <c r="CA82" s="2525"/>
      <c r="CB82" s="2525"/>
      <c r="CC82" s="2525"/>
      <c r="CD82" s="2525"/>
      <c r="CE82" s="2525"/>
      <c r="CF82" s="2525"/>
      <c r="CG82" s="2525"/>
      <c r="CH82" s="2525"/>
      <c r="CI82" s="2525"/>
      <c r="CJ82" s="2525"/>
      <c r="CK82" s="2525"/>
      <c r="CL82" s="2525"/>
      <c r="CM82" s="2525"/>
      <c r="CN82" s="2525"/>
      <c r="CO82" s="2525"/>
      <c r="CP82" s="2525"/>
      <c r="CQ82" s="2525"/>
      <c r="CR82" s="2525"/>
      <c r="CS82" s="2525"/>
      <c r="CT82" s="2525"/>
      <c r="CU82" s="2525"/>
      <c r="CV82" s="2525"/>
      <c r="CW82" s="2525"/>
      <c r="CX82" s="2525"/>
      <c r="CY82" s="2525"/>
      <c r="CZ82" s="2525"/>
      <c r="DA82" s="2525"/>
      <c r="DB82" s="2525"/>
      <c r="DC82" s="2525"/>
      <c r="DD82" s="2525"/>
      <c r="DE82" s="2525"/>
      <c r="DF82" s="2525"/>
      <c r="DG82" s="2525"/>
      <c r="DH82" s="2525"/>
      <c r="DI82" s="2525"/>
      <c r="DJ82" s="2525"/>
      <c r="DK82" s="2525"/>
      <c r="DL82" s="2525"/>
      <c r="DM82" s="2525"/>
      <c r="DN82" s="2525"/>
      <c r="DO82" s="2525"/>
      <c r="DP82" s="2525"/>
      <c r="DQ82" s="2525"/>
      <c r="DR82" s="2525"/>
      <c r="DS82" s="2525"/>
      <c r="DT82" s="2525"/>
      <c r="DU82" s="2525"/>
      <c r="DV82" s="2525"/>
      <c r="DW82" s="2525"/>
      <c r="DX82" s="2525"/>
      <c r="DY82" s="2525"/>
      <c r="DZ82" s="2525"/>
      <c r="EA82" s="2525"/>
      <c r="EB82" s="2525"/>
      <c r="EC82" s="2525"/>
      <c r="ED82" s="2525"/>
      <c r="EE82" s="2525"/>
      <c r="EF82" s="2525"/>
      <c r="EG82" s="2525"/>
      <c r="EH82" s="2525"/>
      <c r="EI82" s="2525"/>
      <c r="EJ82" s="2525"/>
      <c r="EK82" s="2525"/>
      <c r="EL82" s="2525"/>
      <c r="EM82" s="2525"/>
      <c r="EN82" s="2525"/>
      <c r="EO82" s="2525"/>
      <c r="EP82" s="2525"/>
      <c r="EQ82" s="2525"/>
      <c r="ER82" s="2525"/>
      <c r="ES82" s="2525"/>
      <c r="ET82" s="2525"/>
      <c r="EU82" s="2525"/>
      <c r="EV82" s="2525"/>
      <c r="EW82" s="2525"/>
      <c r="EX82" s="2525"/>
      <c r="EY82" s="2525"/>
      <c r="EZ82" s="2525"/>
      <c r="FA82" s="2525"/>
      <c r="FB82" s="2525"/>
      <c r="FC82" s="2525"/>
      <c r="FD82" s="708"/>
      <c r="FE82" s="708"/>
      <c r="FF82" s="708"/>
      <c r="FG82" s="708"/>
      <c r="FH82" s="708"/>
      <c r="FI82" s="708"/>
      <c r="FJ82" s="708"/>
      <c r="FK82" s="708"/>
      <c r="FL82" s="708"/>
      <c r="FM82" s="708"/>
      <c r="FN82" s="708"/>
      <c r="FO82" s="708"/>
      <c r="FP82" s="708"/>
      <c r="FQ82" s="708"/>
      <c r="FR82" s="708"/>
      <c r="FS82" s="708"/>
      <c r="FT82" s="708"/>
      <c r="FU82" s="708"/>
      <c r="FV82" s="708"/>
      <c r="FW82" s="708"/>
      <c r="FX82" s="708"/>
      <c r="FY82" s="708"/>
      <c r="FZ82" s="708"/>
      <c r="GA82" s="708"/>
      <c r="GB82" s="708"/>
      <c r="GC82" s="708"/>
      <c r="GD82" s="708"/>
      <c r="GE82" s="708"/>
      <c r="GF82" s="708"/>
      <c r="GG82" s="708"/>
      <c r="GH82" s="708"/>
      <c r="GI82" s="708"/>
      <c r="GJ82" s="708"/>
      <c r="GK82" s="708"/>
      <c r="GL82" s="708"/>
      <c r="GM82" s="708"/>
      <c r="GN82" s="708"/>
      <c r="GO82" s="708"/>
      <c r="GP82" s="708"/>
      <c r="GQ82" s="708"/>
      <c r="GR82" s="708"/>
      <c r="GS82" s="708"/>
      <c r="GT82" s="708"/>
      <c r="GU82" s="708"/>
      <c r="GV82" s="708"/>
      <c r="GW82" s="708"/>
      <c r="GX82" s="708"/>
      <c r="GY82" s="708"/>
      <c r="GZ82" s="708"/>
      <c r="HA82" s="708"/>
      <c r="HB82" s="708"/>
      <c r="HC82" s="708"/>
      <c r="HD82" s="708"/>
      <c r="HE82" s="708"/>
      <c r="HF82" s="708"/>
      <c r="HG82" s="708"/>
      <c r="HH82" s="708"/>
      <c r="HI82" s="708"/>
      <c r="HJ82" s="708"/>
      <c r="HK82" s="708"/>
      <c r="HL82" s="708"/>
      <c r="HM82" s="708"/>
      <c r="HN82" s="708"/>
      <c r="HO82" s="708"/>
      <c r="HP82" s="708"/>
      <c r="HQ82" s="708"/>
      <c r="HR82" s="708"/>
      <c r="HS82" s="708"/>
      <c r="HT82" s="708"/>
      <c r="HU82" s="708"/>
      <c r="HV82" s="708"/>
      <c r="HW82" s="708"/>
      <c r="HX82" s="708"/>
      <c r="HY82" s="708"/>
      <c r="HZ82" s="708"/>
      <c r="IA82" s="708"/>
      <c r="IB82" s="708"/>
      <c r="IC82" s="708"/>
      <c r="ID82" s="708"/>
      <c r="IE82" s="708"/>
      <c r="IF82" s="708"/>
      <c r="IG82" s="708"/>
      <c r="IH82" s="708"/>
      <c r="II82" s="708"/>
      <c r="IJ82" s="708"/>
      <c r="IK82" s="708"/>
      <c r="IL82" s="708"/>
      <c r="IM82" s="708"/>
      <c r="IN82" s="708"/>
      <c r="IO82" s="708"/>
      <c r="IP82" s="708"/>
      <c r="IQ82" s="708"/>
      <c r="IR82" s="708"/>
      <c r="IS82" s="708"/>
      <c r="IT82" s="708"/>
      <c r="IU82" s="708"/>
      <c r="IV82" s="708"/>
      <c r="IW82" s="708"/>
      <c r="IX82" s="708"/>
      <c r="IY82" s="708"/>
      <c r="IZ82" s="708"/>
      <c r="JA82" s="708"/>
      <c r="JB82" s="2525"/>
      <c r="JC82" s="2525"/>
      <c r="JD82" s="2525"/>
      <c r="JE82" s="2525"/>
      <c r="JF82" s="2525"/>
      <c r="JG82" s="2525"/>
      <c r="JH82" s="2525"/>
      <c r="JI82" s="2525"/>
      <c r="JJ82" s="2525"/>
      <c r="JK82" s="2525"/>
      <c r="JL82" s="2525"/>
      <c r="JM82" s="2525"/>
      <c r="JN82" s="2525"/>
      <c r="JO82" s="2525"/>
      <c r="JP82" s="2525"/>
      <c r="JQ82" s="2525"/>
      <c r="JS82" s="2525"/>
      <c r="JT82" s="2525"/>
      <c r="JU82" s="2525"/>
      <c r="JV82" s="2525"/>
      <c r="JW82" s="2525"/>
      <c r="JX82" s="2525"/>
      <c r="JY82" s="2525"/>
      <c r="JZ82" s="2525"/>
      <c r="KA82" s="708"/>
      <c r="KB82" s="708"/>
      <c r="KC82" s="708"/>
      <c r="KD82" s="708"/>
      <c r="KE82" s="708"/>
      <c r="KF82" s="708"/>
      <c r="KG82" s="708"/>
      <c r="KH82" s="708"/>
      <c r="KI82" s="708"/>
      <c r="KJ82" s="421"/>
      <c r="KK82" s="421"/>
      <c r="KL82" s="708"/>
      <c r="KM82" s="708"/>
      <c r="KN82" s="2525"/>
      <c r="KO82" s="2525"/>
      <c r="KP82" s="2525"/>
      <c r="KQ82" s="2525"/>
      <c r="KR82" s="2525"/>
      <c r="KS82" s="2525"/>
      <c r="KT82" s="2525"/>
      <c r="KU82" s="2525"/>
      <c r="KV82" s="2525"/>
      <c r="KW82" s="2525"/>
      <c r="KX82" s="2525"/>
      <c r="KY82" s="2525"/>
      <c r="KZ82" s="2525"/>
      <c r="LA82" s="2525"/>
      <c r="LB82" s="2525"/>
      <c r="LC82" s="2525"/>
      <c r="LD82" s="2525"/>
      <c r="LE82" s="2525"/>
      <c r="LF82" s="2525"/>
      <c r="LG82" s="2525"/>
      <c r="LH82" s="2525"/>
      <c r="LI82" s="2525"/>
      <c r="LJ82" s="2525"/>
      <c r="LK82" s="2525"/>
      <c r="LL82" s="2525"/>
      <c r="LM82" s="2525"/>
      <c r="LN82" s="2525"/>
      <c r="LO82" s="2525"/>
      <c r="LP82" s="2525"/>
      <c r="LQ82" s="2525"/>
      <c r="LR82" s="2525"/>
    </row>
    <row r="83" spans="1:330">
      <c r="A83" s="2525"/>
      <c r="B83" s="2525"/>
      <c r="C83" s="2525"/>
      <c r="D83" s="2525"/>
      <c r="E83" s="2525"/>
      <c r="F83" s="2525"/>
      <c r="G83" s="2525"/>
      <c r="H83" s="2525"/>
      <c r="I83" s="2525"/>
      <c r="J83" s="2525"/>
      <c r="K83" s="2525"/>
      <c r="L83" s="2525"/>
      <c r="M83" s="2525"/>
      <c r="N83" s="2525"/>
      <c r="O83" s="2525"/>
      <c r="P83" s="2525"/>
      <c r="Q83" s="2525"/>
      <c r="R83" s="2525"/>
      <c r="S83" s="2525"/>
      <c r="T83" s="2525"/>
      <c r="U83" s="2525"/>
      <c r="V83" s="2525"/>
      <c r="W83" s="2525"/>
      <c r="X83" s="2525"/>
      <c r="Y83" s="2525"/>
      <c r="Z83" s="2525"/>
      <c r="AA83" s="2525"/>
      <c r="AB83" s="2525"/>
      <c r="AC83" s="2525"/>
      <c r="AD83" s="2525"/>
      <c r="AE83" s="2525"/>
      <c r="AF83" s="2525"/>
      <c r="AG83" s="2525"/>
      <c r="AH83" s="2525"/>
      <c r="AI83" s="2525"/>
      <c r="AJ83" s="2525"/>
      <c r="AK83" s="2525"/>
      <c r="AL83" s="2525"/>
      <c r="AM83" s="2525"/>
      <c r="AN83" s="2525"/>
      <c r="AO83" s="2525"/>
      <c r="AP83" s="2525"/>
      <c r="AQ83" s="2525"/>
      <c r="AR83" s="2525"/>
      <c r="AS83" s="2525"/>
      <c r="AT83" s="2525"/>
      <c r="AU83" s="2525"/>
      <c r="AV83" s="2525"/>
      <c r="AW83" s="2525"/>
      <c r="AX83" s="2525"/>
      <c r="AY83" s="2525"/>
      <c r="AZ83" s="2525"/>
      <c r="BA83" s="2525"/>
      <c r="BB83" s="2525"/>
      <c r="BC83" s="2525"/>
      <c r="BD83" s="2525"/>
      <c r="BE83" s="2525"/>
      <c r="BF83" s="2525"/>
      <c r="BG83" s="2525"/>
      <c r="BH83" s="2525"/>
      <c r="BI83" s="2525"/>
      <c r="BJ83" s="2525"/>
      <c r="BK83" s="2525"/>
      <c r="BL83" s="2525"/>
      <c r="BM83" s="2525"/>
      <c r="BN83" s="2525"/>
      <c r="BO83" s="2525"/>
      <c r="BP83" s="2525"/>
      <c r="BQ83" s="2525"/>
      <c r="BR83" s="2525"/>
      <c r="BS83" s="2525"/>
      <c r="BT83" s="2525"/>
      <c r="BU83" s="2525"/>
      <c r="BV83" s="2525"/>
      <c r="BW83" s="2525"/>
      <c r="BX83" s="2525"/>
      <c r="BY83" s="2525"/>
      <c r="BZ83" s="2525"/>
      <c r="CA83" s="2525"/>
      <c r="CB83" s="2525"/>
      <c r="CC83" s="2525"/>
      <c r="CD83" s="2525"/>
      <c r="CE83" s="2525"/>
      <c r="CF83" s="2525"/>
      <c r="CG83" s="2525"/>
      <c r="CH83" s="2525"/>
      <c r="CI83" s="2525"/>
      <c r="CJ83" s="2525"/>
      <c r="CK83" s="2525"/>
      <c r="CL83" s="2525"/>
      <c r="CM83" s="2525"/>
      <c r="CN83" s="2525"/>
      <c r="CO83" s="2525"/>
      <c r="CP83" s="2525"/>
      <c r="CQ83" s="2525"/>
      <c r="CR83" s="2525"/>
      <c r="CS83" s="2525"/>
      <c r="CT83" s="2525"/>
      <c r="CU83" s="2525"/>
      <c r="CV83" s="2525"/>
      <c r="CW83" s="2525"/>
      <c r="CX83" s="2525"/>
      <c r="CY83" s="2525"/>
      <c r="CZ83" s="2525"/>
      <c r="DA83" s="2525"/>
      <c r="DB83" s="2525"/>
      <c r="DC83" s="2525"/>
      <c r="DD83" s="2525"/>
      <c r="DE83" s="2525"/>
      <c r="DF83" s="2525"/>
      <c r="DG83" s="2525"/>
      <c r="DH83" s="2525"/>
      <c r="DI83" s="2525"/>
      <c r="DJ83" s="2525"/>
      <c r="DK83" s="2525"/>
      <c r="DL83" s="2525"/>
      <c r="DM83" s="2525"/>
      <c r="DN83" s="2525"/>
      <c r="DO83" s="2525"/>
      <c r="DP83" s="2525"/>
      <c r="DQ83" s="2525"/>
      <c r="DR83" s="2525"/>
      <c r="DS83" s="2525"/>
      <c r="DT83" s="2525"/>
      <c r="DU83" s="2525"/>
      <c r="DV83" s="2525"/>
      <c r="DW83" s="2525"/>
      <c r="DX83" s="2525"/>
      <c r="DY83" s="2525"/>
      <c r="DZ83" s="2525"/>
      <c r="EA83" s="2525"/>
      <c r="EB83" s="2525"/>
      <c r="EC83" s="2525"/>
      <c r="ED83" s="2525"/>
      <c r="EE83" s="2525"/>
      <c r="EF83" s="2525"/>
      <c r="EG83" s="2525"/>
      <c r="EH83" s="2525"/>
      <c r="EI83" s="2525"/>
      <c r="EJ83" s="2525"/>
      <c r="EK83" s="2525"/>
      <c r="EL83" s="2525"/>
      <c r="EM83" s="2525"/>
      <c r="EN83" s="2525"/>
      <c r="EO83" s="2525"/>
      <c r="EP83" s="2525"/>
      <c r="EQ83" s="2525"/>
      <c r="ER83" s="2525"/>
      <c r="ES83" s="2525"/>
      <c r="ET83" s="2525"/>
      <c r="EU83" s="2525"/>
      <c r="EV83" s="2525"/>
      <c r="EW83" s="2525"/>
      <c r="EX83" s="2525"/>
      <c r="EY83" s="2525"/>
      <c r="EZ83" s="2525"/>
      <c r="FA83" s="2525"/>
      <c r="FB83" s="2525"/>
      <c r="FC83" s="2525"/>
      <c r="FD83" s="708"/>
      <c r="FE83" s="708"/>
      <c r="FF83" s="708"/>
      <c r="FG83" s="708"/>
      <c r="FH83" s="708"/>
      <c r="FI83" s="708"/>
      <c r="FJ83" s="708"/>
      <c r="FK83" s="708"/>
      <c r="FL83" s="708"/>
      <c r="FM83" s="708"/>
      <c r="FN83" s="708"/>
      <c r="FO83" s="708"/>
      <c r="FP83" s="708"/>
      <c r="FQ83" s="708"/>
      <c r="FR83" s="708"/>
      <c r="FS83" s="708"/>
      <c r="FT83" s="708"/>
      <c r="FU83" s="708"/>
      <c r="FV83" s="708"/>
      <c r="FW83" s="708"/>
      <c r="FX83" s="708"/>
      <c r="FY83" s="708"/>
      <c r="FZ83" s="708"/>
      <c r="GA83" s="708"/>
      <c r="GB83" s="708"/>
      <c r="GC83" s="708"/>
      <c r="GD83" s="708"/>
      <c r="GE83" s="708"/>
      <c r="GF83" s="708"/>
      <c r="GG83" s="708"/>
      <c r="GH83" s="708"/>
      <c r="GI83" s="708"/>
      <c r="GJ83" s="708"/>
      <c r="GK83" s="708"/>
      <c r="GL83" s="708"/>
      <c r="GM83" s="708"/>
      <c r="GN83" s="708"/>
      <c r="GO83" s="708"/>
      <c r="GP83" s="708"/>
      <c r="GQ83" s="708"/>
      <c r="GR83" s="708"/>
      <c r="GS83" s="708"/>
      <c r="GT83" s="708"/>
      <c r="GU83" s="708"/>
      <c r="GV83" s="708"/>
      <c r="GW83" s="708"/>
      <c r="GX83" s="708"/>
      <c r="GY83" s="708"/>
      <c r="GZ83" s="708"/>
      <c r="HA83" s="708"/>
      <c r="HB83" s="708"/>
      <c r="HC83" s="708"/>
      <c r="HD83" s="708"/>
      <c r="HE83" s="708"/>
      <c r="HF83" s="708"/>
      <c r="HG83" s="708"/>
      <c r="HH83" s="708"/>
      <c r="HI83" s="708"/>
      <c r="HJ83" s="708"/>
      <c r="HK83" s="708"/>
      <c r="HL83" s="708"/>
      <c r="HM83" s="708"/>
      <c r="HN83" s="708"/>
      <c r="HO83" s="708"/>
      <c r="HP83" s="708"/>
      <c r="HQ83" s="708"/>
      <c r="HR83" s="708"/>
      <c r="HS83" s="708"/>
      <c r="HT83" s="708"/>
      <c r="HU83" s="708"/>
      <c r="HV83" s="708"/>
      <c r="HW83" s="708"/>
      <c r="HX83" s="708"/>
      <c r="HY83" s="708"/>
      <c r="HZ83" s="708"/>
      <c r="IA83" s="708"/>
      <c r="IB83" s="708"/>
      <c r="IC83" s="708"/>
      <c r="ID83" s="708"/>
      <c r="IE83" s="708"/>
      <c r="IF83" s="708"/>
      <c r="IG83" s="708"/>
      <c r="IH83" s="708"/>
      <c r="II83" s="708"/>
      <c r="IJ83" s="708"/>
      <c r="IK83" s="708"/>
      <c r="IL83" s="708"/>
      <c r="IM83" s="708"/>
      <c r="IN83" s="708"/>
      <c r="IO83" s="708"/>
      <c r="IP83" s="708"/>
      <c r="IQ83" s="708"/>
      <c r="IR83" s="708"/>
      <c r="IS83" s="708"/>
      <c r="IT83" s="708"/>
      <c r="IU83" s="708"/>
      <c r="IV83" s="708"/>
      <c r="IW83" s="708"/>
      <c r="IX83" s="708"/>
      <c r="IY83" s="708"/>
      <c r="IZ83" s="708"/>
      <c r="JA83" s="708"/>
      <c r="JB83" s="2525"/>
      <c r="JC83" s="2525"/>
      <c r="JD83" s="2525"/>
      <c r="JE83" s="2525"/>
      <c r="JF83" s="2525"/>
      <c r="JG83" s="2525"/>
      <c r="JH83" s="2525"/>
      <c r="JI83" s="2525"/>
      <c r="JJ83" s="2525"/>
      <c r="JK83" s="2525"/>
      <c r="JL83" s="2525"/>
      <c r="JM83" s="2525"/>
      <c r="JN83" s="2525"/>
      <c r="JO83" s="2525"/>
      <c r="JP83" s="2525"/>
      <c r="JQ83" s="2525"/>
      <c r="JS83" s="2525"/>
      <c r="JT83" s="2525"/>
      <c r="JU83" s="2525"/>
      <c r="JV83" s="2525"/>
      <c r="JW83" s="2525"/>
      <c r="JX83" s="2525"/>
      <c r="JY83" s="2525"/>
      <c r="JZ83" s="2525"/>
      <c r="KA83" s="708"/>
      <c r="KB83" s="708"/>
      <c r="KC83" s="708"/>
      <c r="KD83" s="708"/>
      <c r="KE83" s="708"/>
      <c r="KF83" s="708"/>
      <c r="KG83" s="708"/>
      <c r="KH83" s="708"/>
      <c r="KI83" s="708"/>
      <c r="KJ83" s="421"/>
      <c r="KK83" s="421"/>
      <c r="KL83" s="708"/>
      <c r="KM83" s="708"/>
      <c r="KN83" s="2525"/>
      <c r="KO83" s="2525"/>
      <c r="KP83" s="2525"/>
      <c r="KQ83" s="2525"/>
      <c r="KR83" s="2525"/>
      <c r="KS83" s="2525"/>
      <c r="KT83" s="2525"/>
      <c r="KU83" s="2525"/>
      <c r="KV83" s="2525"/>
      <c r="KW83" s="2525"/>
      <c r="KX83" s="2525"/>
      <c r="KY83" s="2525"/>
      <c r="KZ83" s="2525"/>
      <c r="LA83" s="2525"/>
      <c r="LB83" s="2525"/>
      <c r="LC83" s="2525"/>
      <c r="LD83" s="2525"/>
      <c r="LE83" s="2525"/>
      <c r="LF83" s="2525"/>
      <c r="LG83" s="2525"/>
      <c r="LH83" s="2525"/>
      <c r="LI83" s="2525"/>
      <c r="LJ83" s="2525"/>
      <c r="LK83" s="2525"/>
      <c r="LL83" s="2525"/>
      <c r="LM83" s="2525"/>
      <c r="LN83" s="2525"/>
      <c r="LO83" s="2525"/>
      <c r="LP83" s="2525"/>
      <c r="LQ83" s="2525"/>
      <c r="LR83" s="2525"/>
    </row>
    <row r="84" spans="1:330">
      <c r="A84" s="2525"/>
      <c r="B84" s="2525"/>
      <c r="C84" s="2525"/>
      <c r="D84" s="2525"/>
      <c r="E84" s="2525"/>
      <c r="F84" s="2525"/>
      <c r="G84" s="2525"/>
      <c r="H84" s="2525"/>
      <c r="I84" s="2525"/>
      <c r="J84" s="2525"/>
      <c r="K84" s="2525"/>
      <c r="L84" s="2525"/>
      <c r="M84" s="2525"/>
      <c r="N84" s="2525"/>
      <c r="O84" s="2525"/>
      <c r="P84" s="2525"/>
      <c r="Q84" s="2525"/>
      <c r="R84" s="2525"/>
      <c r="S84" s="2525"/>
      <c r="T84" s="2525"/>
      <c r="U84" s="2525"/>
      <c r="V84" s="2525"/>
      <c r="W84" s="2525"/>
      <c r="X84" s="2525"/>
      <c r="Y84" s="2525"/>
      <c r="Z84" s="2525"/>
      <c r="AA84" s="2525"/>
      <c r="AB84" s="2525"/>
      <c r="AC84" s="2525"/>
      <c r="AD84" s="2525"/>
      <c r="AE84" s="2525"/>
      <c r="AF84" s="2525"/>
      <c r="AG84" s="2525"/>
      <c r="AH84" s="2525"/>
      <c r="AI84" s="2525"/>
      <c r="AJ84" s="2525"/>
      <c r="AK84" s="2525"/>
      <c r="AL84" s="2525"/>
      <c r="AM84" s="2525"/>
      <c r="AN84" s="2525"/>
      <c r="AO84" s="2525"/>
      <c r="AP84" s="2525"/>
      <c r="AQ84" s="2525"/>
      <c r="AR84" s="2525"/>
      <c r="AS84" s="2525"/>
      <c r="AT84" s="2525"/>
      <c r="AU84" s="2525"/>
      <c r="AV84" s="2525"/>
      <c r="AW84" s="2525"/>
      <c r="AX84" s="2525"/>
      <c r="AY84" s="2525"/>
      <c r="AZ84" s="2525"/>
      <c r="BA84" s="2525"/>
      <c r="BB84" s="2525"/>
      <c r="BC84" s="2525"/>
      <c r="BD84" s="2525"/>
      <c r="BE84" s="2525"/>
      <c r="BF84" s="2525"/>
      <c r="BG84" s="2525"/>
      <c r="BH84" s="2525"/>
      <c r="BI84" s="2525"/>
      <c r="BJ84" s="2525"/>
      <c r="BK84" s="2525"/>
      <c r="BL84" s="2525"/>
      <c r="BM84" s="2525"/>
      <c r="BN84" s="2525"/>
      <c r="BO84" s="2525"/>
      <c r="BP84" s="2525"/>
      <c r="BQ84" s="2525"/>
      <c r="BR84" s="2525"/>
      <c r="BS84" s="2525"/>
      <c r="BT84" s="2525"/>
      <c r="BU84" s="2525"/>
      <c r="BV84" s="2525"/>
      <c r="BW84" s="2525"/>
      <c r="BX84" s="2525"/>
      <c r="BY84" s="2525"/>
      <c r="BZ84" s="2525"/>
      <c r="CA84" s="2525"/>
      <c r="CB84" s="2525"/>
      <c r="CC84" s="2525"/>
      <c r="CD84" s="2525"/>
      <c r="CE84" s="2525"/>
      <c r="CF84" s="2525"/>
      <c r="CG84" s="2525"/>
      <c r="CH84" s="2525"/>
      <c r="CI84" s="2525"/>
      <c r="CJ84" s="2525"/>
      <c r="CK84" s="2525"/>
      <c r="CL84" s="2525"/>
      <c r="CM84" s="2525"/>
      <c r="CN84" s="2525"/>
      <c r="CO84" s="2525"/>
      <c r="CP84" s="2525"/>
      <c r="CQ84" s="2525"/>
      <c r="CR84" s="2525"/>
      <c r="CS84" s="2525"/>
      <c r="CT84" s="2525"/>
      <c r="CU84" s="2525"/>
      <c r="CV84" s="2525"/>
      <c r="CW84" s="2525"/>
      <c r="CX84" s="2525"/>
      <c r="CY84" s="2525"/>
      <c r="CZ84" s="2525"/>
      <c r="DA84" s="2525"/>
      <c r="DB84" s="2525"/>
      <c r="DC84" s="2525"/>
      <c r="DD84" s="2525"/>
      <c r="DE84" s="2525"/>
      <c r="DF84" s="2525"/>
      <c r="DG84" s="2525"/>
      <c r="DH84" s="2525"/>
      <c r="DI84" s="2525"/>
      <c r="DJ84" s="2525"/>
      <c r="DK84" s="2525"/>
      <c r="DL84" s="2525"/>
      <c r="DM84" s="2525"/>
      <c r="DN84" s="2525"/>
      <c r="DO84" s="2525"/>
      <c r="DP84" s="2525"/>
      <c r="DQ84" s="2525"/>
      <c r="DR84" s="2525"/>
      <c r="DS84" s="2525"/>
      <c r="DT84" s="2525"/>
      <c r="DU84" s="2525"/>
      <c r="DV84" s="2525"/>
      <c r="DW84" s="2525"/>
      <c r="DX84" s="2525"/>
      <c r="DY84" s="2525"/>
      <c r="DZ84" s="2525"/>
      <c r="EA84" s="2525"/>
      <c r="EB84" s="2525"/>
      <c r="EC84" s="2525"/>
      <c r="ED84" s="2525"/>
      <c r="EE84" s="2525"/>
      <c r="EF84" s="2525"/>
      <c r="EG84" s="2525"/>
      <c r="EH84" s="2525"/>
      <c r="EI84" s="2525"/>
      <c r="EJ84" s="2525"/>
      <c r="EK84" s="2525"/>
      <c r="EL84" s="2525"/>
      <c r="EM84" s="2525"/>
      <c r="EN84" s="2525"/>
      <c r="EO84" s="2525"/>
      <c r="EP84" s="2525"/>
      <c r="EQ84" s="2525"/>
      <c r="ER84" s="2525"/>
      <c r="ES84" s="2525"/>
      <c r="ET84" s="2525"/>
      <c r="EU84" s="2525"/>
      <c r="EV84" s="2525"/>
      <c r="EW84" s="2525"/>
      <c r="EX84" s="2525"/>
      <c r="EY84" s="2525"/>
      <c r="EZ84" s="2525"/>
      <c r="FA84" s="2525"/>
      <c r="FB84" s="2525"/>
      <c r="FC84" s="2525"/>
      <c r="FD84" s="708"/>
      <c r="FE84" s="708"/>
      <c r="FF84" s="708"/>
      <c r="FG84" s="708"/>
      <c r="FH84" s="708"/>
      <c r="FI84" s="708"/>
      <c r="FJ84" s="708"/>
      <c r="FK84" s="708"/>
      <c r="FL84" s="708"/>
      <c r="FM84" s="708"/>
      <c r="FN84" s="708"/>
      <c r="FO84" s="708"/>
      <c r="FP84" s="708"/>
      <c r="FQ84" s="708"/>
      <c r="FR84" s="708"/>
      <c r="FS84" s="708"/>
      <c r="FT84" s="708"/>
      <c r="FU84" s="708"/>
      <c r="FV84" s="708"/>
      <c r="FW84" s="708"/>
      <c r="FX84" s="708"/>
      <c r="FY84" s="708"/>
      <c r="FZ84" s="708"/>
      <c r="GA84" s="708"/>
      <c r="GB84" s="708"/>
      <c r="GC84" s="708"/>
      <c r="GD84" s="708"/>
      <c r="GE84" s="708"/>
      <c r="GF84" s="708"/>
      <c r="GG84" s="708"/>
      <c r="GH84" s="708"/>
      <c r="GI84" s="708"/>
      <c r="GJ84" s="708"/>
      <c r="GK84" s="708"/>
      <c r="GL84" s="708"/>
      <c r="GM84" s="708"/>
      <c r="GN84" s="708"/>
      <c r="GO84" s="708"/>
      <c r="GP84" s="708"/>
      <c r="GQ84" s="708"/>
      <c r="GR84" s="708"/>
      <c r="GS84" s="708"/>
      <c r="GT84" s="708"/>
      <c r="GU84" s="708"/>
      <c r="GV84" s="708"/>
      <c r="GW84" s="708"/>
      <c r="GX84" s="708"/>
      <c r="GY84" s="708"/>
      <c r="GZ84" s="708"/>
      <c r="HA84" s="708"/>
      <c r="HB84" s="708"/>
      <c r="HC84" s="708"/>
      <c r="HD84" s="708"/>
      <c r="HE84" s="708"/>
      <c r="HF84" s="708"/>
      <c r="HG84" s="708"/>
      <c r="HH84" s="708"/>
      <c r="HI84" s="708"/>
      <c r="HJ84" s="708"/>
      <c r="HK84" s="708"/>
      <c r="HL84" s="708"/>
      <c r="HM84" s="708"/>
      <c r="HN84" s="708"/>
      <c r="HO84" s="708"/>
      <c r="HP84" s="708"/>
      <c r="HQ84" s="708"/>
      <c r="HR84" s="708"/>
      <c r="HS84" s="708"/>
      <c r="HT84" s="708"/>
      <c r="HU84" s="708"/>
      <c r="HV84" s="708"/>
      <c r="HW84" s="708"/>
      <c r="HX84" s="708"/>
      <c r="HY84" s="708"/>
      <c r="HZ84" s="708"/>
      <c r="IA84" s="708"/>
      <c r="IB84" s="708"/>
      <c r="IC84" s="708"/>
      <c r="ID84" s="708"/>
      <c r="IE84" s="708"/>
      <c r="IF84" s="708"/>
      <c r="IG84" s="708"/>
      <c r="IH84" s="708"/>
      <c r="II84" s="708"/>
      <c r="IJ84" s="708"/>
      <c r="IK84" s="708"/>
      <c r="IL84" s="708"/>
      <c r="IM84" s="708"/>
      <c r="IN84" s="708"/>
      <c r="IO84" s="708"/>
      <c r="IP84" s="708"/>
      <c r="IQ84" s="708"/>
      <c r="IR84" s="708"/>
      <c r="IS84" s="708"/>
      <c r="IT84" s="708"/>
      <c r="IU84" s="708"/>
      <c r="IV84" s="708"/>
      <c r="IW84" s="708"/>
      <c r="IX84" s="708"/>
      <c r="IY84" s="708"/>
      <c r="IZ84" s="708"/>
      <c r="JA84" s="708"/>
      <c r="JB84" s="2525"/>
      <c r="JC84" s="2525"/>
      <c r="JD84" s="2525"/>
      <c r="JE84" s="2525"/>
      <c r="JF84" s="2525"/>
      <c r="JG84" s="2525"/>
      <c r="JH84" s="2525"/>
      <c r="JI84" s="2525"/>
      <c r="JJ84" s="2525"/>
      <c r="JK84" s="2525"/>
      <c r="JL84" s="2525"/>
      <c r="JM84" s="2525"/>
      <c r="JN84" s="2525"/>
      <c r="JO84" s="2525"/>
      <c r="JP84" s="2525"/>
      <c r="JQ84" s="2525"/>
      <c r="JS84" s="2525"/>
      <c r="JT84" s="2525"/>
      <c r="JU84" s="2525"/>
      <c r="JV84" s="2525"/>
      <c r="JW84" s="2525"/>
      <c r="JX84" s="2525"/>
      <c r="JY84" s="2525"/>
      <c r="JZ84" s="2525"/>
      <c r="KA84" s="708"/>
      <c r="KB84" s="708"/>
      <c r="KC84" s="708"/>
      <c r="KD84" s="708"/>
      <c r="KE84" s="708"/>
      <c r="KF84" s="708"/>
      <c r="KG84" s="708"/>
      <c r="KH84" s="708"/>
      <c r="KI84" s="708"/>
      <c r="KJ84" s="421"/>
      <c r="KK84" s="421"/>
      <c r="KL84" s="708"/>
      <c r="KM84" s="708"/>
      <c r="KN84" s="2525"/>
      <c r="KO84" s="2525"/>
      <c r="KP84" s="2525"/>
      <c r="KQ84" s="2525"/>
      <c r="KR84" s="2525"/>
      <c r="KS84" s="2525"/>
      <c r="KT84" s="2525"/>
      <c r="KU84" s="2525"/>
      <c r="KV84" s="2525"/>
      <c r="KW84" s="2525"/>
      <c r="KX84" s="2525"/>
      <c r="KY84" s="2525"/>
      <c r="KZ84" s="2525"/>
      <c r="LA84" s="2525"/>
      <c r="LB84" s="2525"/>
      <c r="LC84" s="2525"/>
      <c r="LD84" s="2525"/>
      <c r="LE84" s="2525"/>
      <c r="LF84" s="2525"/>
      <c r="LG84" s="2525"/>
      <c r="LH84" s="2525"/>
      <c r="LI84" s="2525"/>
      <c r="LJ84" s="2525"/>
      <c r="LK84" s="2525"/>
      <c r="LL84" s="2525"/>
      <c r="LM84" s="2525"/>
      <c r="LN84" s="2525"/>
      <c r="LO84" s="2525"/>
      <c r="LP84" s="2525"/>
      <c r="LQ84" s="2525"/>
      <c r="LR84" s="2525"/>
    </row>
    <row r="85" spans="1:330">
      <c r="A85" s="2525"/>
      <c r="B85" s="2525"/>
      <c r="C85" s="2525"/>
      <c r="D85" s="2525"/>
      <c r="E85" s="2525"/>
      <c r="F85" s="2525"/>
      <c r="G85" s="2525"/>
      <c r="H85" s="2525"/>
      <c r="I85" s="2525"/>
      <c r="J85" s="2525"/>
      <c r="K85" s="2525"/>
      <c r="L85" s="2525"/>
      <c r="M85" s="2525"/>
      <c r="N85" s="2525"/>
      <c r="O85" s="2525"/>
      <c r="P85" s="2525"/>
      <c r="Q85" s="2525"/>
      <c r="R85" s="2525"/>
      <c r="S85" s="2525"/>
      <c r="T85" s="2525"/>
      <c r="U85" s="2525"/>
      <c r="V85" s="2525"/>
      <c r="W85" s="2525"/>
      <c r="X85" s="2525"/>
      <c r="Y85" s="2525"/>
      <c r="Z85" s="2525"/>
      <c r="AA85" s="2525"/>
      <c r="AB85" s="2525"/>
      <c r="AC85" s="2525"/>
      <c r="AD85" s="2525"/>
      <c r="AE85" s="2525"/>
      <c r="AF85" s="2525"/>
      <c r="AG85" s="2525"/>
      <c r="AH85" s="2525"/>
      <c r="AI85" s="2525"/>
      <c r="AJ85" s="2525"/>
      <c r="AK85" s="2525"/>
      <c r="AL85" s="2525"/>
      <c r="AM85" s="2525"/>
      <c r="AN85" s="2525"/>
      <c r="AO85" s="2525"/>
      <c r="AP85" s="2525"/>
      <c r="AQ85" s="2525"/>
      <c r="AR85" s="2525"/>
      <c r="AS85" s="2525"/>
      <c r="AT85" s="2525"/>
      <c r="AU85" s="2525"/>
      <c r="AV85" s="2525"/>
      <c r="AW85" s="2525"/>
      <c r="AX85" s="2525"/>
      <c r="AY85" s="2525"/>
      <c r="AZ85" s="2525"/>
      <c r="BA85" s="2525"/>
      <c r="BB85" s="2525"/>
      <c r="BC85" s="2525"/>
      <c r="BD85" s="2525"/>
      <c r="BE85" s="2525"/>
      <c r="BF85" s="2525"/>
      <c r="BG85" s="2525"/>
      <c r="BH85" s="2525"/>
      <c r="BI85" s="2525"/>
      <c r="BJ85" s="2525"/>
      <c r="BK85" s="2525"/>
      <c r="BL85" s="2525"/>
      <c r="BM85" s="2525"/>
      <c r="BN85" s="2525"/>
      <c r="BO85" s="2525"/>
      <c r="BP85" s="2525"/>
      <c r="BQ85" s="2525"/>
      <c r="BR85" s="2525"/>
      <c r="BS85" s="2525"/>
      <c r="BT85" s="2525"/>
      <c r="BU85" s="2525"/>
      <c r="BV85" s="2525"/>
      <c r="BW85" s="2525"/>
      <c r="BX85" s="2525"/>
      <c r="BY85" s="2525"/>
      <c r="BZ85" s="2525"/>
      <c r="CA85" s="2525"/>
      <c r="CB85" s="2525"/>
      <c r="CC85" s="2525"/>
      <c r="CD85" s="2525"/>
      <c r="CE85" s="2525"/>
      <c r="CF85" s="2525"/>
      <c r="CG85" s="2525"/>
      <c r="CH85" s="2525"/>
      <c r="CI85" s="2525"/>
      <c r="CJ85" s="2525"/>
      <c r="CK85" s="2525"/>
      <c r="CL85" s="2525"/>
      <c r="CM85" s="2525"/>
      <c r="CN85" s="2525"/>
      <c r="CO85" s="2525"/>
      <c r="CP85" s="2525"/>
      <c r="CQ85" s="2525"/>
      <c r="CR85" s="2525"/>
      <c r="CS85" s="2525"/>
      <c r="CT85" s="2525"/>
      <c r="CU85" s="2525"/>
      <c r="CV85" s="2525"/>
      <c r="CW85" s="2525"/>
      <c r="CX85" s="2525"/>
      <c r="CY85" s="2525"/>
      <c r="CZ85" s="2525"/>
      <c r="DA85" s="2525"/>
      <c r="DB85" s="2525"/>
      <c r="DC85" s="2525"/>
      <c r="DD85" s="2525"/>
      <c r="DE85" s="2525"/>
      <c r="DF85" s="2525"/>
      <c r="DG85" s="2525"/>
      <c r="DH85" s="2525"/>
      <c r="DI85" s="2525"/>
      <c r="DJ85" s="2525"/>
      <c r="DK85" s="2525"/>
      <c r="DL85" s="2525"/>
      <c r="DM85" s="2525"/>
      <c r="DN85" s="2525"/>
      <c r="DO85" s="2525"/>
      <c r="DP85" s="2525"/>
      <c r="DQ85" s="2525"/>
      <c r="DR85" s="2525"/>
      <c r="DS85" s="2525"/>
      <c r="DT85" s="2525"/>
      <c r="DU85" s="2525"/>
      <c r="DV85" s="2525"/>
      <c r="DW85" s="2525"/>
      <c r="DX85" s="2525"/>
      <c r="DY85" s="2525"/>
      <c r="DZ85" s="2525"/>
      <c r="EA85" s="2525"/>
      <c r="EB85" s="2525"/>
      <c r="EC85" s="2525"/>
      <c r="ED85" s="2525"/>
      <c r="EE85" s="2525"/>
      <c r="EF85" s="2525"/>
      <c r="EG85" s="2525"/>
      <c r="EH85" s="2525"/>
      <c r="EI85" s="2525"/>
      <c r="EJ85" s="2525"/>
      <c r="EK85" s="2525"/>
      <c r="EL85" s="2525"/>
      <c r="EM85" s="2525"/>
      <c r="EN85" s="2525"/>
      <c r="EO85" s="2525"/>
      <c r="EP85" s="2525"/>
      <c r="EQ85" s="2525"/>
      <c r="ER85" s="2525"/>
      <c r="ES85" s="2525"/>
      <c r="ET85" s="2525"/>
      <c r="EU85" s="2525"/>
      <c r="EV85" s="2525"/>
      <c r="EW85" s="2525"/>
      <c r="EX85" s="2525"/>
      <c r="EY85" s="2525"/>
      <c r="EZ85" s="2525"/>
      <c r="FA85" s="2525"/>
      <c r="FB85" s="2525"/>
      <c r="FC85" s="2525"/>
      <c r="FD85" s="708"/>
      <c r="FE85" s="708"/>
      <c r="FF85" s="708"/>
      <c r="FG85" s="708"/>
      <c r="FH85" s="708"/>
      <c r="FI85" s="708"/>
      <c r="FJ85" s="708"/>
      <c r="FK85" s="708"/>
      <c r="FL85" s="708"/>
      <c r="FM85" s="708"/>
      <c r="FN85" s="708"/>
      <c r="FO85" s="708"/>
      <c r="FP85" s="708"/>
      <c r="FQ85" s="708"/>
      <c r="FR85" s="708"/>
      <c r="FS85" s="708"/>
      <c r="FT85" s="708"/>
      <c r="FU85" s="708"/>
      <c r="FV85" s="708"/>
      <c r="FW85" s="708"/>
      <c r="FX85" s="708"/>
      <c r="FY85" s="708"/>
      <c r="FZ85" s="708"/>
      <c r="GA85" s="708"/>
      <c r="GB85" s="708"/>
      <c r="GC85" s="708"/>
      <c r="GD85" s="708"/>
      <c r="GE85" s="708"/>
      <c r="GF85" s="708"/>
      <c r="GG85" s="708"/>
      <c r="GH85" s="708"/>
      <c r="GI85" s="708"/>
      <c r="GJ85" s="708"/>
      <c r="GK85" s="708"/>
      <c r="GL85" s="708"/>
      <c r="GM85" s="708"/>
      <c r="GN85" s="708"/>
      <c r="GO85" s="708"/>
      <c r="GP85" s="708"/>
      <c r="GQ85" s="708"/>
      <c r="GR85" s="708"/>
      <c r="GS85" s="708"/>
      <c r="GT85" s="708"/>
      <c r="GU85" s="708"/>
      <c r="GV85" s="708"/>
      <c r="GW85" s="708"/>
      <c r="GX85" s="708"/>
      <c r="GY85" s="708"/>
      <c r="GZ85" s="708"/>
      <c r="HA85" s="708"/>
      <c r="HB85" s="708"/>
      <c r="HC85" s="708"/>
      <c r="HD85" s="708"/>
      <c r="HE85" s="708"/>
      <c r="HF85" s="708"/>
      <c r="HG85" s="708"/>
      <c r="HH85" s="708"/>
      <c r="HI85" s="708"/>
      <c r="HJ85" s="708"/>
      <c r="HK85" s="708"/>
      <c r="HL85" s="708"/>
      <c r="HM85" s="708"/>
      <c r="HN85" s="708"/>
      <c r="HO85" s="708"/>
      <c r="HP85" s="708"/>
      <c r="HQ85" s="708"/>
      <c r="HR85" s="708"/>
      <c r="HS85" s="708"/>
      <c r="HT85" s="708"/>
      <c r="HU85" s="708"/>
      <c r="HV85" s="708"/>
      <c r="HW85" s="708"/>
      <c r="HX85" s="708"/>
      <c r="HY85" s="708"/>
      <c r="HZ85" s="708"/>
      <c r="IA85" s="708"/>
      <c r="IB85" s="708"/>
      <c r="IC85" s="708"/>
      <c r="ID85" s="708"/>
      <c r="IE85" s="708"/>
      <c r="IF85" s="708"/>
      <c r="IG85" s="708"/>
      <c r="IH85" s="708"/>
      <c r="II85" s="708"/>
      <c r="IJ85" s="708"/>
      <c r="IK85" s="708"/>
      <c r="IL85" s="708"/>
      <c r="IM85" s="708"/>
      <c r="IN85" s="708"/>
      <c r="IO85" s="708"/>
      <c r="IP85" s="708"/>
      <c r="IQ85" s="708"/>
      <c r="IR85" s="708"/>
      <c r="IS85" s="708"/>
      <c r="IT85" s="708"/>
      <c r="IU85" s="708"/>
      <c r="IV85" s="708"/>
      <c r="IW85" s="708"/>
      <c r="IX85" s="708"/>
      <c r="IY85" s="708"/>
      <c r="IZ85" s="708"/>
      <c r="JA85" s="708"/>
      <c r="JB85" s="2525"/>
      <c r="JC85" s="2525"/>
      <c r="JD85" s="2525"/>
      <c r="JE85" s="2525"/>
      <c r="JF85" s="2525"/>
      <c r="JG85" s="2525"/>
      <c r="JH85" s="2525"/>
      <c r="JI85" s="2525"/>
      <c r="JJ85" s="2525"/>
      <c r="JK85" s="2525"/>
      <c r="JL85" s="2525"/>
      <c r="JM85" s="2525"/>
      <c r="JN85" s="2525"/>
      <c r="JO85" s="2525"/>
      <c r="JP85" s="2525"/>
      <c r="JQ85" s="2525"/>
      <c r="JS85" s="2525"/>
      <c r="JT85" s="2525"/>
      <c r="JU85" s="2525"/>
      <c r="JV85" s="2525"/>
      <c r="JW85" s="2525"/>
      <c r="JX85" s="2525"/>
      <c r="JY85" s="2525"/>
      <c r="JZ85" s="2525"/>
      <c r="KA85" s="708"/>
      <c r="KB85" s="708"/>
      <c r="KC85" s="708"/>
      <c r="KD85" s="708"/>
      <c r="KE85" s="708"/>
      <c r="KF85" s="708"/>
      <c r="KG85" s="708"/>
      <c r="KH85" s="708"/>
      <c r="KI85" s="708"/>
      <c r="KJ85" s="421"/>
      <c r="KK85" s="421"/>
      <c r="KL85" s="708"/>
      <c r="KM85" s="708"/>
      <c r="KN85" s="2525"/>
      <c r="KO85" s="2525"/>
      <c r="KP85" s="2525"/>
      <c r="KQ85" s="2525"/>
      <c r="KR85" s="2525"/>
      <c r="KS85" s="2525"/>
      <c r="KT85" s="2525"/>
      <c r="KU85" s="2525"/>
      <c r="KV85" s="2525"/>
      <c r="KW85" s="2525"/>
      <c r="KX85" s="2525"/>
      <c r="KY85" s="2525"/>
      <c r="KZ85" s="2525"/>
      <c r="LA85" s="2525"/>
      <c r="LB85" s="2525"/>
      <c r="LC85" s="2525"/>
      <c r="LD85" s="2525"/>
      <c r="LE85" s="2525"/>
      <c r="LF85" s="2525"/>
      <c r="LG85" s="2525"/>
      <c r="LH85" s="2525"/>
      <c r="LI85" s="2525"/>
      <c r="LJ85" s="2525"/>
      <c r="LK85" s="2525"/>
      <c r="LL85" s="2525"/>
      <c r="LM85" s="2525"/>
      <c r="LN85" s="2525"/>
      <c r="LO85" s="2525"/>
      <c r="LP85" s="2525"/>
      <c r="LQ85" s="2525"/>
      <c r="LR85" s="2525"/>
    </row>
  </sheetData>
  <sortState xmlns:xlrd2="http://schemas.microsoft.com/office/spreadsheetml/2017/richdata2" ref="A7:LJ37">
    <sortCondition descending="1" ref="JP7:JP37"/>
  </sortState>
  <mergeCells count="43">
    <mergeCell ref="KM2:KM4"/>
    <mergeCell ref="KC2:KC5"/>
    <mergeCell ref="KL2:KL4"/>
    <mergeCell ref="D2:O2"/>
    <mergeCell ref="P2:AA2"/>
    <mergeCell ref="AB2:AM2"/>
    <mergeCell ref="DT2:EE2"/>
    <mergeCell ref="EF2:EQ2"/>
    <mergeCell ref="CV2:DG2"/>
    <mergeCell ref="DH2:DS2"/>
    <mergeCell ref="AN2:AY2"/>
    <mergeCell ref="AZ2:BK2"/>
    <mergeCell ref="BL2:BW2"/>
    <mergeCell ref="BX2:CI2"/>
    <mergeCell ref="CJ2:CU2"/>
    <mergeCell ref="JZ2:JZ4"/>
    <mergeCell ref="KG2:KG4"/>
    <mergeCell ref="KE2:KE4"/>
    <mergeCell ref="GO2:GR2"/>
    <mergeCell ref="GS2:GV2"/>
    <mergeCell ref="GW2:GZ2"/>
    <mergeCell ref="HY2:IB2"/>
    <mergeCell ref="IK2:IN2"/>
    <mergeCell ref="KB2:KB4"/>
    <mergeCell ref="KA2:KA4"/>
    <mergeCell ref="KF2:KF4"/>
    <mergeCell ref="JY2:JY4"/>
    <mergeCell ref="FY46:FZ46"/>
    <mergeCell ref="KK2:KK4"/>
    <mergeCell ref="KJ2:KJ4"/>
    <mergeCell ref="IC2:IF2"/>
    <mergeCell ref="HA2:HD2"/>
    <mergeCell ref="JX2:JX4"/>
    <mergeCell ref="JW2:JW4"/>
    <mergeCell ref="HE2:HH2"/>
    <mergeCell ref="HI2:HL2"/>
    <mergeCell ref="HM2:HP2"/>
    <mergeCell ref="HQ2:HT2"/>
    <mergeCell ref="HU2:HX2"/>
    <mergeCell ref="JV2:JV4"/>
    <mergeCell ref="KI2:KI4"/>
    <mergeCell ref="KH2:KH4"/>
    <mergeCell ref="IG2:IJ2"/>
  </mergeCells>
  <phoneticPr fontId="11" type="noConversion"/>
  <conditionalFormatting sqref="KF6">
    <cfRule type="cellIs" dxfId="77" priority="53" operator="greaterThan">
      <formula>0</formula>
    </cfRule>
    <cfRule type="top10" dxfId="76" priority="55" rank="10"/>
  </conditionalFormatting>
  <conditionalFormatting sqref="KE6">
    <cfRule type="cellIs" dxfId="75" priority="52" operator="greaterThan">
      <formula>0</formula>
    </cfRule>
  </conditionalFormatting>
  <conditionalFormatting sqref="KG6">
    <cfRule type="cellIs" dxfId="74" priority="49" operator="greaterThan">
      <formula>0</formula>
    </cfRule>
    <cfRule type="top10" dxfId="73" priority="50" rank="10"/>
  </conditionalFormatting>
  <conditionalFormatting sqref="KC6">
    <cfRule type="cellIs" dxfId="72" priority="39" operator="greaterThan">
      <formula>0</formula>
    </cfRule>
    <cfRule type="top10" dxfId="71" priority="40" rank="10"/>
  </conditionalFormatting>
  <conditionalFormatting sqref="KH6">
    <cfRule type="cellIs" dxfId="70" priority="30" operator="greaterThan">
      <formula>0</formula>
    </cfRule>
    <cfRule type="top10" dxfId="69" priority="31" rank="10"/>
  </conditionalFormatting>
  <conditionalFormatting sqref="KI6 KK6">
    <cfRule type="cellIs" dxfId="68" priority="15" operator="greaterThan">
      <formula>0</formula>
    </cfRule>
    <cfRule type="top10" dxfId="67" priority="16" rank="10"/>
  </conditionalFormatting>
  <conditionalFormatting sqref="KJ6">
    <cfRule type="cellIs" dxfId="66" priority="10" operator="greaterThan">
      <formula>0</formula>
    </cfRule>
    <cfRule type="top10" dxfId="65" priority="11" rank="10"/>
  </conditionalFormatting>
  <conditionalFormatting sqref="KE40:KE45 KE2:KE6">
    <cfRule type="top10" dxfId="64" priority="92" rank="10"/>
  </conditionalFormatting>
  <conditionalFormatting sqref="KF40:KF45 KF2:KF6">
    <cfRule type="top10" dxfId="63" priority="95" rank="10"/>
  </conditionalFormatting>
  <conditionalFormatting sqref="KG40:KG45 KG2:KG6">
    <cfRule type="top10" dxfId="62" priority="98" rank="10"/>
  </conditionalFormatting>
  <conditionalFormatting sqref="KC40:KC45 KC2 KC6">
    <cfRule type="top10" dxfId="61" priority="101" rank="10"/>
  </conditionalFormatting>
  <conditionalFormatting sqref="KH40:KH45 KH2:KH6">
    <cfRule type="top10" dxfId="60" priority="104" rank="10"/>
  </conditionalFormatting>
  <conditionalFormatting sqref="KI40:KI45 KI2:KI6 KK2:KK6 KK40:KK45">
    <cfRule type="top10" dxfId="59" priority="107" rank="10"/>
  </conditionalFormatting>
  <conditionalFormatting sqref="KJ40:KJ45 KJ2:KJ6">
    <cfRule type="top10" dxfId="58" priority="113" rank="10"/>
  </conditionalFormatting>
  <conditionalFormatting sqref="KM2:KM4">
    <cfRule type="top10" dxfId="57" priority="7" rank="10"/>
  </conditionalFormatting>
  <conditionalFormatting sqref="KM7:KM38">
    <cfRule type="top10" dxfId="56" priority="6" rank="10"/>
  </conditionalFormatting>
  <conditionalFormatting sqref="KC7:KC38">
    <cfRule type="top10" dxfId="55" priority="5" rank="10"/>
  </conditionalFormatting>
  <conditionalFormatting sqref="KL2:KL4">
    <cfRule type="top10" dxfId="54" priority="4" rank="10"/>
  </conditionalFormatting>
  <conditionalFormatting sqref="KL7:KL38">
    <cfRule type="top10" dxfId="53" priority="1" rank="10"/>
  </conditionalFormatting>
  <printOptions horizontalCentered="1" verticalCentered="1"/>
  <pageMargins left="0.39370078740157483" right="0.11811023622047245" top="0.51181102362204722" bottom="0.43307086614173229" header="0" footer="0"/>
  <pageSetup paperSize="9" scale="18" orientation="landscape" verticalDpi="597" r:id="rId1"/>
  <headerFooter alignWithMargins="0"/>
  <rowBreaks count="1" manualBreakCount="1">
    <brk id="41" max="16383" man="1"/>
  </rowBreaks>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X55"/>
  <sheetViews>
    <sheetView zoomScale="90" zoomScaleNormal="90" workbookViewId="0">
      <selection activeCell="J4" sqref="J4:M4"/>
    </sheetView>
  </sheetViews>
  <sheetFormatPr baseColWidth="10" defaultColWidth="12.6640625" defaultRowHeight="14.4"/>
  <cols>
    <col min="1" max="1" width="43.5546875" bestFit="1" customWidth="1"/>
    <col min="2" max="4" width="8.88671875" customWidth="1"/>
    <col min="5" max="5" width="10.6640625" customWidth="1"/>
    <col min="6" max="6" width="8.88671875" customWidth="1"/>
    <col min="7" max="7" width="9.77734375" bestFit="1" customWidth="1"/>
    <col min="8" max="8" width="8.88671875" customWidth="1"/>
    <col min="9" max="9" width="10.6640625" customWidth="1"/>
    <col min="10" max="13" width="13.77734375" customWidth="1"/>
    <col min="14" max="15" width="14.5546875" customWidth="1"/>
    <col min="16" max="16" width="8" customWidth="1"/>
    <col min="17" max="22" width="12.77734375" customWidth="1"/>
  </cols>
  <sheetData>
    <row r="1" spans="1:24">
      <c r="A1" s="2324" t="s">
        <v>1093</v>
      </c>
      <c r="B1" s="4995"/>
      <c r="C1" s="4995"/>
      <c r="D1" s="4995"/>
      <c r="E1" s="4995"/>
      <c r="F1" s="4995"/>
      <c r="G1" s="4995"/>
      <c r="H1" s="4995"/>
      <c r="I1" s="4995"/>
      <c r="J1" s="2320"/>
      <c r="K1" s="2320"/>
      <c r="L1" s="2320"/>
      <c r="M1" s="2320"/>
      <c r="N1" s="2325"/>
      <c r="O1" s="2325"/>
      <c r="P1" s="2325"/>
      <c r="Q1" s="2325"/>
      <c r="R1" s="2325"/>
      <c r="S1" s="2325"/>
      <c r="T1" s="2325"/>
      <c r="U1" s="2325"/>
      <c r="V1" s="2325"/>
      <c r="W1" s="2325"/>
      <c r="X1" s="2325"/>
    </row>
    <row r="2" spans="1:24">
      <c r="A2" s="2324"/>
      <c r="B2" s="4995"/>
      <c r="C2" s="4995"/>
      <c r="D2" s="4995"/>
      <c r="E2" s="4995"/>
      <c r="F2" s="4995"/>
      <c r="G2" s="4995"/>
      <c r="H2" s="4995"/>
      <c r="I2" s="4995"/>
      <c r="J2" s="2320"/>
      <c r="K2" s="2320"/>
      <c r="L2" s="2320"/>
      <c r="M2" s="2320"/>
      <c r="N2" s="2325"/>
      <c r="O2" s="2325"/>
      <c r="P2" s="2325"/>
      <c r="Q2" s="2325"/>
      <c r="R2" s="2325"/>
      <c r="S2" s="2325"/>
      <c r="T2" s="2325"/>
      <c r="U2" s="2325"/>
      <c r="V2" s="2325"/>
      <c r="W2" s="2325"/>
      <c r="X2" s="2325"/>
    </row>
    <row r="3" spans="1:24" ht="15" thickBot="1">
      <c r="A3" s="2324" t="s">
        <v>1094</v>
      </c>
      <c r="B3" s="4995"/>
      <c r="C3" s="4995"/>
      <c r="D3" s="4995"/>
      <c r="E3" s="4995"/>
      <c r="F3" s="4995"/>
      <c r="G3" s="4995"/>
      <c r="H3" s="4995"/>
      <c r="I3" s="4995"/>
      <c r="J3" s="2320"/>
      <c r="K3" s="2320"/>
      <c r="L3" s="2320"/>
      <c r="M3" s="2320"/>
      <c r="N3" s="2325"/>
      <c r="O3" s="2325"/>
      <c r="P3" s="2325"/>
      <c r="Q3" s="2325"/>
      <c r="R3" s="2325"/>
      <c r="S3" s="2325"/>
      <c r="T3" s="2325"/>
      <c r="U3" s="2325"/>
      <c r="V3" s="2325"/>
      <c r="W3" s="2325"/>
      <c r="X3" s="2325"/>
    </row>
    <row r="4" spans="1:24" ht="15" thickBot="1">
      <c r="A4" s="2325"/>
      <c r="B4" s="5744">
        <v>2020</v>
      </c>
      <c r="C4" s="5745"/>
      <c r="D4" s="5745"/>
      <c r="E4" s="5746"/>
      <c r="F4" s="5744">
        <v>2021</v>
      </c>
      <c r="G4" s="5745"/>
      <c r="H4" s="5745"/>
      <c r="I4" s="5746"/>
      <c r="J4" s="5778">
        <v>2022</v>
      </c>
      <c r="K4" s="5779"/>
      <c r="L4" s="5779"/>
      <c r="M4" s="5780"/>
      <c r="N4" s="2325"/>
      <c r="O4" s="2325"/>
      <c r="P4" s="2325"/>
      <c r="Q4" s="2325"/>
      <c r="R4" s="2325"/>
      <c r="S4" s="2325"/>
      <c r="T4" s="2325"/>
      <c r="U4" s="2325"/>
      <c r="V4" s="2325"/>
      <c r="W4" s="2325"/>
      <c r="X4" s="2325"/>
    </row>
    <row r="5" spans="1:24" ht="28.8" customHeight="1" thickBot="1">
      <c r="A5" s="2316" t="s">
        <v>1095</v>
      </c>
      <c r="B5" s="4996" t="s">
        <v>981</v>
      </c>
      <c r="C5" s="4997" t="s">
        <v>1096</v>
      </c>
      <c r="D5" s="4997" t="s">
        <v>151</v>
      </c>
      <c r="E5" s="4998" t="s">
        <v>1435</v>
      </c>
      <c r="F5" s="4996" t="s">
        <v>981</v>
      </c>
      <c r="G5" s="4997" t="s">
        <v>1096</v>
      </c>
      <c r="H5" s="4997" t="s">
        <v>151</v>
      </c>
      <c r="I5" s="4998" t="s">
        <v>1435</v>
      </c>
      <c r="J5" s="4974" t="s">
        <v>981</v>
      </c>
      <c r="K5" s="4975" t="s">
        <v>1096</v>
      </c>
      <c r="L5" s="4975" t="s">
        <v>151</v>
      </c>
      <c r="M5" s="4976" t="s">
        <v>1435</v>
      </c>
      <c r="N5" s="2317"/>
      <c r="O5" s="2317"/>
      <c r="P5" s="2318"/>
      <c r="Q5" s="2318"/>
      <c r="R5" s="2318"/>
      <c r="S5" s="2318"/>
      <c r="T5" s="2318"/>
      <c r="U5" s="2318"/>
      <c r="V5" s="2318"/>
      <c r="W5" s="2318"/>
      <c r="X5" s="2318"/>
    </row>
    <row r="6" spans="1:24">
      <c r="A6" s="2319" t="s">
        <v>982</v>
      </c>
      <c r="B6" s="4999">
        <v>13138</v>
      </c>
      <c r="C6" s="4999">
        <v>15486</v>
      </c>
      <c r="D6" s="4999">
        <v>28624</v>
      </c>
      <c r="E6" s="5000">
        <f>D6/$D$11</f>
        <v>0.66575183160832652</v>
      </c>
      <c r="F6" s="4999">
        <v>8909</v>
      </c>
      <c r="G6" s="4999">
        <v>11075</v>
      </c>
      <c r="H6" s="4999">
        <f>+F6+G6</f>
        <v>19984</v>
      </c>
      <c r="I6" s="5000">
        <f>H6/$H$11</f>
        <v>0.65147514262428685</v>
      </c>
      <c r="J6" s="5049">
        <v>9450</v>
      </c>
      <c r="K6" s="5050">
        <v>11669</v>
      </c>
      <c r="L6" s="5050">
        <f>+J6+K6</f>
        <v>21119</v>
      </c>
      <c r="M6" s="5051">
        <f>L6/$L$11</f>
        <v>0.67240830361691284</v>
      </c>
      <c r="N6" s="2326"/>
      <c r="O6" s="2326"/>
      <c r="P6" s="2325"/>
      <c r="Q6" s="2325"/>
      <c r="R6" s="2325"/>
      <c r="S6" s="2325"/>
      <c r="T6" s="2325"/>
      <c r="U6" s="2325"/>
      <c r="V6" s="2325"/>
      <c r="W6" s="2325"/>
      <c r="X6" s="2325"/>
    </row>
    <row r="7" spans="1:24">
      <c r="A7" s="2319" t="s">
        <v>782</v>
      </c>
      <c r="B7" s="5001">
        <v>2681</v>
      </c>
      <c r="C7" s="5001">
        <v>3759</v>
      </c>
      <c r="D7" s="5001">
        <v>6440</v>
      </c>
      <c r="E7" s="5002">
        <f>D7/$D$11</f>
        <v>0.14978485870450053</v>
      </c>
      <c r="F7" s="5001">
        <v>2109</v>
      </c>
      <c r="G7" s="5001">
        <v>3057</v>
      </c>
      <c r="H7" s="5001">
        <f>SUM(F7:G7)</f>
        <v>5166</v>
      </c>
      <c r="I7" s="5002">
        <f>H7/$H$11</f>
        <v>0.16841075794621027</v>
      </c>
      <c r="J7" s="5052">
        <v>2030</v>
      </c>
      <c r="K7" s="5053">
        <v>2908</v>
      </c>
      <c r="L7" s="5053">
        <f>SUM(J7:K7)</f>
        <v>4938</v>
      </c>
      <c r="M7" s="5054">
        <f>L7/$H$11</f>
        <v>0.16097799511002445</v>
      </c>
      <c r="N7" s="2326"/>
      <c r="O7" s="2326"/>
      <c r="P7" s="2325"/>
      <c r="Q7" s="2325"/>
      <c r="R7" s="2325"/>
      <c r="S7" s="2325"/>
      <c r="T7" s="2325"/>
      <c r="U7" s="2325"/>
      <c r="V7" s="2325"/>
      <c r="W7" s="2325"/>
      <c r="X7" s="2325"/>
    </row>
    <row r="8" spans="1:24" ht="15" thickBot="1">
      <c r="A8" s="2319" t="s">
        <v>1097</v>
      </c>
      <c r="B8" s="5001">
        <v>2969</v>
      </c>
      <c r="C8" s="5001">
        <v>1986</v>
      </c>
      <c r="D8" s="5001">
        <v>4955</v>
      </c>
      <c r="E8" s="5002">
        <f>D8/$D$11</f>
        <v>0.11524595883242238</v>
      </c>
      <c r="F8" s="5001">
        <v>2601</v>
      </c>
      <c r="G8" s="5001">
        <v>1756</v>
      </c>
      <c r="H8" s="5001">
        <f>SUM(F8:G8)</f>
        <v>4357</v>
      </c>
      <c r="I8" s="5002">
        <f>H8/$H$11</f>
        <v>0.14203748981255093</v>
      </c>
      <c r="J8" s="5052">
        <v>2499</v>
      </c>
      <c r="K8" s="5053">
        <v>1665</v>
      </c>
      <c r="L8" s="5053">
        <f>SUM(J8:K8)</f>
        <v>4164</v>
      </c>
      <c r="M8" s="5054">
        <f>L8/$H$11</f>
        <v>0.13574572127139364</v>
      </c>
      <c r="N8" s="2326"/>
      <c r="O8" s="2326"/>
      <c r="P8" s="2325"/>
      <c r="Q8" s="2325"/>
      <c r="R8" s="2325"/>
      <c r="S8" s="2325"/>
      <c r="T8" s="2325"/>
      <c r="U8" s="2325"/>
      <c r="V8" s="2325"/>
      <c r="W8" s="2325"/>
      <c r="X8" s="2325"/>
    </row>
    <row r="9" spans="1:24" ht="14.4" customHeight="1">
      <c r="A9" s="2319" t="s">
        <v>983</v>
      </c>
      <c r="B9" s="5001">
        <v>787</v>
      </c>
      <c r="C9" s="5001">
        <v>1391</v>
      </c>
      <c r="D9" s="5001">
        <v>2178</v>
      </c>
      <c r="E9" s="5002">
        <f>D9/$D$11</f>
        <v>5.0657053145714621E-2</v>
      </c>
      <c r="F9" s="5001">
        <v>189</v>
      </c>
      <c r="G9" s="5001">
        <v>243</v>
      </c>
      <c r="H9" s="5001">
        <f>SUM(F9:G9)</f>
        <v>432</v>
      </c>
      <c r="I9" s="5002">
        <f>H9/$H$11</f>
        <v>1.4083129584352079E-2</v>
      </c>
      <c r="J9" s="5052">
        <v>197</v>
      </c>
      <c r="K9" s="5053">
        <v>257</v>
      </c>
      <c r="L9" s="5053">
        <f>SUM(J9:K9)</f>
        <v>454</v>
      </c>
      <c r="M9" s="5054">
        <f>L9/$H$11</f>
        <v>1.4800325998370008E-2</v>
      </c>
      <c r="N9" s="5752" t="s">
        <v>1971</v>
      </c>
      <c r="O9" s="5753"/>
      <c r="P9" s="2325"/>
      <c r="Q9" s="2325"/>
      <c r="R9" s="2325"/>
      <c r="S9" s="2325"/>
      <c r="T9" s="2325"/>
      <c r="U9" s="2325"/>
      <c r="V9" s="2325"/>
      <c r="W9" s="2325"/>
      <c r="X9" s="2325"/>
    </row>
    <row r="10" spans="1:24" ht="15" thickBot="1">
      <c r="A10" s="2327" t="s">
        <v>984</v>
      </c>
      <c r="B10" s="5003">
        <v>293</v>
      </c>
      <c r="C10" s="5003">
        <v>505</v>
      </c>
      <c r="D10" s="5003">
        <v>798</v>
      </c>
      <c r="E10" s="5004">
        <f>D10/$D$11</f>
        <v>1.8560297709035934E-2</v>
      </c>
      <c r="F10" s="5003">
        <v>240</v>
      </c>
      <c r="G10" s="5003">
        <v>496</v>
      </c>
      <c r="H10" s="5003">
        <f>+F10+G10</f>
        <v>736</v>
      </c>
      <c r="I10" s="5004">
        <f>H10/$H$11</f>
        <v>2.3993480032599837E-2</v>
      </c>
      <c r="J10" s="5055">
        <v>239</v>
      </c>
      <c r="K10" s="5056">
        <v>494</v>
      </c>
      <c r="L10" s="5056">
        <f>+J10+K10</f>
        <v>733</v>
      </c>
      <c r="M10" s="5057">
        <f>L10/$H$11</f>
        <v>2.3895680521597393E-2</v>
      </c>
      <c r="N10" s="5754"/>
      <c r="O10" s="5755"/>
      <c r="P10" s="2325"/>
      <c r="Q10" s="2325"/>
      <c r="R10" s="2325"/>
      <c r="S10" s="2325"/>
      <c r="T10" s="2325"/>
      <c r="U10" s="2325"/>
      <c r="V10" s="2325"/>
      <c r="W10" s="2325"/>
      <c r="X10" s="2325"/>
    </row>
    <row r="11" spans="1:24" ht="30.6" customHeight="1" thickBot="1">
      <c r="A11" s="2328" t="s">
        <v>151</v>
      </c>
      <c r="B11" s="5005">
        <f>SUM(B6:B10)</f>
        <v>19868</v>
      </c>
      <c r="C11" s="5005">
        <f>SUM(C6:C10)</f>
        <v>23127</v>
      </c>
      <c r="D11" s="5006">
        <f>SUM(D6:D10)</f>
        <v>42995</v>
      </c>
      <c r="E11" s="5007" t="s">
        <v>1357</v>
      </c>
      <c r="F11" s="5005">
        <f>SUM(F6:F10)</f>
        <v>14048</v>
      </c>
      <c r="G11" s="5005">
        <f>SUM(G6:G10)</f>
        <v>16627</v>
      </c>
      <c r="H11" s="5006">
        <f>SUM(H6:H10)</f>
        <v>30675</v>
      </c>
      <c r="I11" s="5007" t="s">
        <v>1357</v>
      </c>
      <c r="J11" s="4977">
        <f>SUM(J6:J10)</f>
        <v>14415</v>
      </c>
      <c r="K11" s="4978">
        <f>SUM(K6:K10)</f>
        <v>16993</v>
      </c>
      <c r="L11" s="4979">
        <f>SUM(L6:L10)</f>
        <v>31408</v>
      </c>
      <c r="M11" s="4980" t="s">
        <v>1357</v>
      </c>
      <c r="N11" s="5768">
        <f>-H11+L11</f>
        <v>733</v>
      </c>
      <c r="O11" s="2350" t="s">
        <v>1420</v>
      </c>
      <c r="P11" s="2325"/>
      <c r="Q11" s="2325"/>
      <c r="R11" s="2325"/>
      <c r="S11" s="2325"/>
      <c r="T11" s="2325"/>
      <c r="U11" s="2325"/>
      <c r="V11" s="2325"/>
      <c r="W11" s="2325"/>
      <c r="X11" s="2325"/>
    </row>
    <row r="12" spans="1:24" ht="16.2" thickBot="1">
      <c r="A12" s="2329"/>
      <c r="B12" s="5008" t="s">
        <v>1358</v>
      </c>
      <c r="C12" s="5008">
        <v>4.5</v>
      </c>
      <c r="D12" s="5009">
        <f>D11*C12</f>
        <v>193477.5</v>
      </c>
      <c r="E12" s="5010" t="s">
        <v>1359</v>
      </c>
      <c r="F12" s="5008" t="s">
        <v>1358</v>
      </c>
      <c r="G12" s="5008">
        <f>G19</f>
        <v>4.5</v>
      </c>
      <c r="H12" s="5009">
        <f>H11*G12</f>
        <v>138037.5</v>
      </c>
      <c r="I12" s="5010" t="s">
        <v>1359</v>
      </c>
      <c r="J12" s="2330" t="s">
        <v>1358</v>
      </c>
      <c r="K12" s="4981">
        <f>K19</f>
        <v>4.5</v>
      </c>
      <c r="L12" s="2331">
        <f>L11*K12</f>
        <v>141336</v>
      </c>
      <c r="M12" s="2332" t="s">
        <v>1359</v>
      </c>
      <c r="N12" s="5769"/>
      <c r="O12" s="2349">
        <f>L11/H11-1</f>
        <v>2.3895680521597296E-2</v>
      </c>
      <c r="P12" s="2325"/>
      <c r="Q12" s="2325"/>
      <c r="R12" s="2325"/>
      <c r="S12" s="2325"/>
      <c r="T12" s="2325"/>
      <c r="U12" s="2325"/>
      <c r="V12" s="2325"/>
      <c r="W12" s="2325"/>
      <c r="X12" s="2325"/>
    </row>
    <row r="13" spans="1:24" ht="15" thickBot="1">
      <c r="A13" s="2333"/>
      <c r="B13" s="5011"/>
      <c r="C13" s="5011" t="s">
        <v>195</v>
      </c>
      <c r="D13" s="5012">
        <f>SUM(D11:D12)</f>
        <v>236472.5</v>
      </c>
      <c r="E13" s="5013"/>
      <c r="F13" s="5011"/>
      <c r="G13" s="5011" t="s">
        <v>195</v>
      </c>
      <c r="H13" s="5012">
        <f>SUM(H11:H12)</f>
        <v>168712.5</v>
      </c>
      <c r="I13" s="5013"/>
      <c r="J13" s="4982"/>
      <c r="K13" s="4983" t="s">
        <v>195</v>
      </c>
      <c r="L13" s="4984">
        <f>SUM(L11:L12)</f>
        <v>172744</v>
      </c>
      <c r="M13" s="4985"/>
      <c r="N13" s="2325"/>
      <c r="O13" s="2325"/>
      <c r="P13" s="2325"/>
      <c r="Q13" s="2325"/>
      <c r="R13" s="2325"/>
      <c r="S13" s="2325"/>
      <c r="T13" s="2325"/>
      <c r="U13" s="2325"/>
      <c r="V13" s="2325"/>
      <c r="W13" s="2325"/>
      <c r="X13" s="2325"/>
    </row>
    <row r="14" spans="1:24" ht="14.4" customHeight="1">
      <c r="A14" s="2329"/>
      <c r="B14" s="5747" t="s">
        <v>1392</v>
      </c>
      <c r="C14" s="5747"/>
      <c r="D14" s="5747"/>
      <c r="E14" s="5748"/>
      <c r="F14" s="5747" t="s">
        <v>1571</v>
      </c>
      <c r="G14" s="5747"/>
      <c r="H14" s="5747"/>
      <c r="I14" s="5748"/>
      <c r="J14" s="5785" t="s">
        <v>1970</v>
      </c>
      <c r="K14" s="5786"/>
      <c r="L14" s="5786"/>
      <c r="M14" s="5787"/>
      <c r="N14" s="2325"/>
      <c r="O14" s="2325"/>
      <c r="P14" s="2325"/>
      <c r="Q14" s="2325"/>
      <c r="R14" s="2325"/>
      <c r="S14" s="2325"/>
      <c r="T14" s="2325"/>
      <c r="U14" s="2325"/>
      <c r="V14" s="2325"/>
      <c r="W14" s="2325"/>
      <c r="X14" s="2325"/>
    </row>
    <row r="15" spans="1:24" ht="15" customHeight="1" thickBot="1">
      <c r="A15" s="2333"/>
      <c r="B15" s="5763" t="s">
        <v>1391</v>
      </c>
      <c r="C15" s="5763"/>
      <c r="D15" s="5763"/>
      <c r="E15" s="5764"/>
      <c r="F15" s="5763" t="s">
        <v>1570</v>
      </c>
      <c r="G15" s="5763"/>
      <c r="H15" s="5763"/>
      <c r="I15" s="5764"/>
      <c r="J15" s="5775" t="s">
        <v>1969</v>
      </c>
      <c r="K15" s="5776"/>
      <c r="L15" s="5776"/>
      <c r="M15" s="5777"/>
      <c r="N15" s="2325"/>
      <c r="O15" s="2325"/>
      <c r="P15" s="2325"/>
      <c r="Q15" s="2325"/>
      <c r="R15" s="2325"/>
      <c r="S15" s="2325"/>
      <c r="T15" s="2325"/>
      <c r="U15" s="2325"/>
      <c r="V15" s="2325"/>
      <c r="W15" s="2325"/>
      <c r="X15" s="2325"/>
    </row>
    <row r="16" spans="1:24" ht="15.6">
      <c r="A16" s="2325"/>
      <c r="B16" s="4995"/>
      <c r="C16" s="4995"/>
      <c r="D16" s="4995"/>
      <c r="E16" s="4995"/>
      <c r="F16" s="4995"/>
      <c r="G16" s="5078" t="s">
        <v>1975</v>
      </c>
      <c r="H16" s="5077">
        <f>H11/D11-1</f>
        <v>-0.28654494708687062</v>
      </c>
      <c r="I16" s="4995"/>
      <c r="J16" s="4986"/>
      <c r="K16" s="5078" t="s">
        <v>1975</v>
      </c>
      <c r="L16" s="5077">
        <f>L11/H11-1</f>
        <v>2.3895680521597296E-2</v>
      </c>
      <c r="M16" s="4986"/>
      <c r="N16" s="2325"/>
      <c r="O16" s="2325"/>
      <c r="P16" s="2325"/>
      <c r="Q16" s="2325"/>
      <c r="R16" s="2325"/>
      <c r="S16" s="2325"/>
      <c r="T16" s="2325"/>
      <c r="U16" s="2325"/>
      <c r="V16" s="2325"/>
      <c r="W16" s="2325"/>
      <c r="X16" s="2325"/>
    </row>
    <row r="17" spans="1:24">
      <c r="A17" s="2322" t="s">
        <v>1437</v>
      </c>
      <c r="B17" s="4995"/>
      <c r="C17" s="4995"/>
      <c r="D17" s="4995"/>
      <c r="E17" s="4995"/>
      <c r="F17" s="4995"/>
      <c r="G17" s="4995"/>
      <c r="H17" s="4995"/>
      <c r="I17" s="4995"/>
      <c r="J17" s="4986"/>
      <c r="K17" s="4986"/>
      <c r="L17" s="4986"/>
      <c r="M17" s="4986"/>
      <c r="N17" s="2325"/>
      <c r="O17" s="2325"/>
      <c r="P17" s="2325"/>
      <c r="Q17" s="2325"/>
      <c r="R17" s="2325"/>
      <c r="S17" s="2325"/>
      <c r="T17" s="2325"/>
      <c r="U17" s="2325"/>
      <c r="V17" s="2325"/>
      <c r="W17" s="2325"/>
      <c r="X17" s="2325"/>
    </row>
    <row r="18" spans="1:24" ht="24">
      <c r="A18" s="2322" t="s">
        <v>1438</v>
      </c>
      <c r="B18" s="5014">
        <f>+D11</f>
        <v>42995</v>
      </c>
      <c r="C18" s="5015" t="s">
        <v>1098</v>
      </c>
      <c r="D18" s="4995"/>
      <c r="E18" s="4995"/>
      <c r="F18" s="5014">
        <f>+H11</f>
        <v>30675</v>
      </c>
      <c r="G18" s="5015" t="s">
        <v>1098</v>
      </c>
      <c r="H18" s="4995"/>
      <c r="I18" s="4995"/>
      <c r="J18" s="4987">
        <f>+L11</f>
        <v>31408</v>
      </c>
      <c r="K18" s="2315" t="s">
        <v>1098</v>
      </c>
      <c r="L18" s="4986"/>
      <c r="M18" s="4986"/>
      <c r="N18" s="2325"/>
      <c r="O18" s="2325"/>
      <c r="P18" s="2325"/>
      <c r="Q18" s="2325"/>
      <c r="R18" s="2325"/>
      <c r="S18" s="2325"/>
      <c r="T18" s="2325"/>
      <c r="U18" s="2325"/>
      <c r="V18" s="2325"/>
      <c r="W18" s="2325"/>
      <c r="X18" s="2325"/>
    </row>
    <row r="19" spans="1:24">
      <c r="A19" s="2322" t="s">
        <v>1439</v>
      </c>
      <c r="B19" s="5016">
        <f>(B18*C19)</f>
        <v>193477.5</v>
      </c>
      <c r="C19" s="5015">
        <v>4.5</v>
      </c>
      <c r="D19" s="4995"/>
      <c r="E19" s="4995"/>
      <c r="F19" s="5016">
        <f>(F18*G19)</f>
        <v>138037.5</v>
      </c>
      <c r="G19" s="5015">
        <v>4.5</v>
      </c>
      <c r="H19" s="4995"/>
      <c r="I19" s="4995"/>
      <c r="J19" s="4988">
        <f>(J18*K19)</f>
        <v>141336</v>
      </c>
      <c r="K19" s="2218">
        <v>4.5</v>
      </c>
      <c r="L19" s="4986"/>
      <c r="M19" s="4986"/>
      <c r="N19" s="2325"/>
      <c r="O19" s="2325"/>
      <c r="P19" s="2325"/>
      <c r="Q19" s="2325"/>
      <c r="R19" s="2325"/>
      <c r="S19" s="2325"/>
      <c r="T19" s="2325"/>
      <c r="U19" s="2325"/>
      <c r="V19" s="2325"/>
      <c r="W19" s="2325"/>
      <c r="X19" s="2325"/>
    </row>
    <row r="20" spans="1:24">
      <c r="A20" s="2325"/>
      <c r="B20" s="4995"/>
      <c r="C20" s="4995"/>
      <c r="D20" s="4995"/>
      <c r="E20" s="4995"/>
      <c r="F20" s="4995"/>
      <c r="G20" s="4995"/>
      <c r="H20" s="4995"/>
      <c r="I20" s="4995"/>
      <c r="J20" s="2320"/>
      <c r="K20" s="2320"/>
      <c r="L20" s="2320"/>
      <c r="M20" s="2320"/>
      <c r="N20" s="2325"/>
      <c r="O20" s="2325"/>
      <c r="P20" s="2325"/>
      <c r="Q20" s="2325"/>
      <c r="R20" s="2325"/>
      <c r="S20" s="2325"/>
      <c r="T20" s="2325"/>
      <c r="U20" s="2325"/>
      <c r="V20" s="2325"/>
      <c r="W20" s="2325"/>
      <c r="X20" s="2325"/>
    </row>
    <row r="21" spans="1:24">
      <c r="A21" s="2325"/>
      <c r="B21" s="4995"/>
      <c r="C21" s="4995"/>
      <c r="D21" s="4995"/>
      <c r="E21" s="4995"/>
      <c r="F21" s="4995"/>
      <c r="G21" s="4995"/>
      <c r="H21" s="4995"/>
      <c r="I21" s="4995"/>
      <c r="J21" s="2320"/>
      <c r="K21" s="2320"/>
      <c r="L21" s="2320"/>
      <c r="M21" s="2320"/>
      <c r="N21" s="2325"/>
      <c r="O21" s="2325"/>
      <c r="P21" s="2325"/>
      <c r="Q21" s="2325"/>
      <c r="R21" s="2325"/>
      <c r="S21" s="2325"/>
      <c r="T21" s="2325"/>
      <c r="U21" s="2325"/>
      <c r="V21" s="2325"/>
      <c r="W21" s="2325"/>
      <c r="X21" s="2325"/>
    </row>
    <row r="22" spans="1:24" ht="15" thickBot="1">
      <c r="A22" s="2325"/>
      <c r="B22" s="4995"/>
      <c r="C22" s="4995"/>
      <c r="D22" s="4995"/>
      <c r="E22" s="4995"/>
      <c r="F22" s="4995"/>
      <c r="G22" s="4995"/>
      <c r="H22" s="4995"/>
      <c r="I22" s="4995"/>
      <c r="J22" s="2320"/>
      <c r="K22" s="2320"/>
      <c r="L22" s="2320"/>
      <c r="M22" s="2320"/>
      <c r="N22" s="2325"/>
      <c r="O22" s="2325"/>
      <c r="P22" s="2325"/>
      <c r="Q22" s="2325"/>
      <c r="R22" s="2325"/>
      <c r="S22" s="2325"/>
      <c r="T22" s="2325"/>
      <c r="U22" s="2325"/>
      <c r="V22" s="2325"/>
      <c r="W22" s="2325"/>
      <c r="X22" s="2325"/>
    </row>
    <row r="23" spans="1:24">
      <c r="A23" s="2334" t="s">
        <v>1093</v>
      </c>
      <c r="B23" s="5017"/>
      <c r="C23" s="5017"/>
      <c r="D23" s="5018"/>
      <c r="E23" s="4995"/>
      <c r="F23" s="4995"/>
      <c r="G23" s="4995"/>
      <c r="H23" s="4995"/>
      <c r="I23" s="4995"/>
      <c r="J23" s="2320"/>
      <c r="K23" s="2320"/>
      <c r="L23" s="2320"/>
      <c r="M23" s="2320"/>
      <c r="N23" s="2325"/>
      <c r="O23" s="2325"/>
      <c r="P23" s="2325"/>
      <c r="Q23" s="2325"/>
      <c r="R23" s="2325"/>
      <c r="S23" s="2325"/>
      <c r="T23" s="2325"/>
      <c r="U23" s="2325"/>
      <c r="V23" s="2325"/>
      <c r="W23" s="2325"/>
      <c r="X23" s="2325"/>
    </row>
    <row r="24" spans="1:24">
      <c r="A24" s="2335"/>
      <c r="B24" s="5019"/>
      <c r="C24" s="5019"/>
      <c r="D24" s="5020"/>
      <c r="E24" s="4995"/>
      <c r="F24" s="4995"/>
      <c r="G24" s="4995"/>
      <c r="H24" s="4995"/>
      <c r="I24" s="4995"/>
      <c r="J24" s="2320"/>
      <c r="K24" s="2320"/>
      <c r="L24" s="2320"/>
      <c r="M24" s="2320"/>
      <c r="N24" s="2325"/>
      <c r="O24" s="2325"/>
      <c r="P24" s="2325"/>
      <c r="Q24" s="2325"/>
      <c r="R24" s="2325"/>
      <c r="S24" s="2325"/>
      <c r="T24" s="2325"/>
      <c r="U24" s="2325"/>
      <c r="V24" s="2325"/>
      <c r="W24" s="2325"/>
      <c r="X24" s="2325"/>
    </row>
    <row r="25" spans="1:24" ht="15" thickBot="1">
      <c r="A25" s="2335" t="s">
        <v>1123</v>
      </c>
      <c r="B25" s="5019"/>
      <c r="C25" s="5019"/>
      <c r="D25" s="5020"/>
      <c r="E25" s="4995"/>
      <c r="F25" s="4995"/>
      <c r="G25" s="4995"/>
      <c r="H25" s="4995"/>
      <c r="I25" s="4995"/>
      <c r="J25" s="2320"/>
      <c r="K25" s="2320"/>
      <c r="L25" s="2320"/>
      <c r="M25" s="2320"/>
      <c r="N25" s="2325"/>
      <c r="O25" s="2325"/>
      <c r="P25" s="2325"/>
      <c r="Q25" s="2325"/>
      <c r="R25" s="2325"/>
      <c r="S25" s="2325"/>
      <c r="T25" s="2325"/>
      <c r="U25" s="2325"/>
      <c r="V25" s="2325"/>
      <c r="W25" s="2325"/>
      <c r="X25" s="2325"/>
    </row>
    <row r="26" spans="1:24" ht="15" thickBot="1">
      <c r="A26" s="2329"/>
      <c r="B26" s="5744">
        <v>2020</v>
      </c>
      <c r="C26" s="5745"/>
      <c r="D26" s="5745"/>
      <c r="E26" s="5746"/>
      <c r="F26" s="5744">
        <v>2021</v>
      </c>
      <c r="G26" s="5745"/>
      <c r="H26" s="5745"/>
      <c r="I26" s="5746"/>
      <c r="J26" s="5778">
        <v>2022</v>
      </c>
      <c r="K26" s="5779"/>
      <c r="L26" s="5779"/>
      <c r="M26" s="5780"/>
      <c r="N26" s="4986"/>
      <c r="O26" s="4986"/>
      <c r="P26" s="2325"/>
      <c r="Q26" s="2325"/>
      <c r="R26" s="2325"/>
      <c r="S26" s="2325"/>
      <c r="T26" s="2325"/>
      <c r="U26" s="2325"/>
      <c r="V26" s="2325"/>
      <c r="W26" s="2325"/>
      <c r="X26" s="2325"/>
    </row>
    <row r="27" spans="1:24" ht="28.8">
      <c r="A27" s="2319" t="s">
        <v>1095</v>
      </c>
      <c r="B27" s="5021" t="s">
        <v>981</v>
      </c>
      <c r="C27" s="5021" t="s">
        <v>1096</v>
      </c>
      <c r="D27" s="5022" t="s">
        <v>151</v>
      </c>
      <c r="E27" s="5023" t="s">
        <v>1435</v>
      </c>
      <c r="F27" s="5021" t="s">
        <v>981</v>
      </c>
      <c r="G27" s="5021" t="s">
        <v>1096</v>
      </c>
      <c r="H27" s="5022" t="s">
        <v>151</v>
      </c>
      <c r="I27" s="5023" t="s">
        <v>1435</v>
      </c>
      <c r="J27" s="4989" t="s">
        <v>981</v>
      </c>
      <c r="K27" s="4990" t="s">
        <v>1096</v>
      </c>
      <c r="L27" s="4991" t="s">
        <v>151</v>
      </c>
      <c r="M27" s="4991" t="s">
        <v>1435</v>
      </c>
      <c r="N27" s="4986"/>
      <c r="O27" s="4986"/>
      <c r="P27" s="2325"/>
      <c r="Q27" s="2325"/>
      <c r="R27" s="2325"/>
      <c r="S27" s="2325"/>
      <c r="T27" s="2325"/>
      <c r="U27" s="2325"/>
      <c r="V27" s="2325"/>
      <c r="W27" s="2325"/>
      <c r="X27" s="2325"/>
    </row>
    <row r="28" spans="1:24">
      <c r="A28" s="2321" t="s">
        <v>982</v>
      </c>
      <c r="B28" s="5024">
        <v>1540</v>
      </c>
      <c r="C28" s="5024">
        <v>2157</v>
      </c>
      <c r="D28" s="5025">
        <f>+B28+C28</f>
        <v>3697</v>
      </c>
      <c r="E28" s="5026">
        <f>D28/$D$33</f>
        <v>0.5053307818480044</v>
      </c>
      <c r="F28" s="5024">
        <v>1627</v>
      </c>
      <c r="G28" s="5024">
        <v>2275</v>
      </c>
      <c r="H28" s="5025">
        <f>+F28+G28</f>
        <v>3902</v>
      </c>
      <c r="I28" s="5026">
        <f>H28/$H$33</f>
        <v>0.54558165548098436</v>
      </c>
      <c r="J28" s="5058">
        <v>1701</v>
      </c>
      <c r="K28" s="5059">
        <v>2374</v>
      </c>
      <c r="L28" s="5062">
        <f>+J28+K28</f>
        <v>4075</v>
      </c>
      <c r="M28" s="5054">
        <f>L28/$L$33</f>
        <v>0.56456082017179277</v>
      </c>
      <c r="N28" s="4986"/>
      <c r="O28" s="4986"/>
      <c r="P28" s="2325"/>
      <c r="Q28" s="2325"/>
      <c r="R28" s="2325"/>
      <c r="S28" s="2325"/>
      <c r="T28" s="2325"/>
      <c r="U28" s="2325"/>
      <c r="V28" s="2325"/>
      <c r="W28" s="2325"/>
      <c r="X28" s="2325"/>
    </row>
    <row r="29" spans="1:24">
      <c r="A29" s="2321" t="s">
        <v>782</v>
      </c>
      <c r="B29" s="5024">
        <v>762</v>
      </c>
      <c r="C29" s="5024">
        <v>1295</v>
      </c>
      <c r="D29" s="5025">
        <f>SUM(B29:C29)</f>
        <v>2057</v>
      </c>
      <c r="E29" s="5026">
        <f>D29/$D$33</f>
        <v>0.28116457080371787</v>
      </c>
      <c r="F29" s="5024">
        <v>701</v>
      </c>
      <c r="G29" s="5024">
        <v>1270</v>
      </c>
      <c r="H29" s="5025">
        <f>SUM(F29:G29)</f>
        <v>1971</v>
      </c>
      <c r="I29" s="5026">
        <f>H29/$H$33</f>
        <v>0.27558724832214765</v>
      </c>
      <c r="J29" s="5058">
        <v>688</v>
      </c>
      <c r="K29" s="5059">
        <v>1263</v>
      </c>
      <c r="L29" s="5062">
        <f>SUM(J29:K29)</f>
        <v>1951</v>
      </c>
      <c r="M29" s="5054">
        <f>L29/$L$33</f>
        <v>0.27029648101967302</v>
      </c>
      <c r="N29" s="4986"/>
      <c r="O29" s="4986"/>
      <c r="P29" s="2325"/>
      <c r="Q29" s="2325"/>
      <c r="R29" s="2325"/>
      <c r="S29" s="2325"/>
      <c r="T29" s="2325"/>
      <c r="U29" s="2325"/>
      <c r="V29" s="2325"/>
      <c r="W29" s="2325"/>
      <c r="X29" s="2325"/>
    </row>
    <row r="30" spans="1:24" ht="15" thickBot="1">
      <c r="A30" s="2321" t="s">
        <v>1097</v>
      </c>
      <c r="B30" s="5024">
        <v>673</v>
      </c>
      <c r="C30" s="5024">
        <v>453</v>
      </c>
      <c r="D30" s="5025">
        <f>SUM(B30:C30)</f>
        <v>1126</v>
      </c>
      <c r="E30" s="5026">
        <f>D30/$D$33</f>
        <v>0.15390924002186987</v>
      </c>
      <c r="F30" s="5024">
        <v>699</v>
      </c>
      <c r="G30" s="5024">
        <v>483</v>
      </c>
      <c r="H30" s="5025">
        <f>SUM(F30:G30)</f>
        <v>1182</v>
      </c>
      <c r="I30" s="5026">
        <f>H30/$H$33</f>
        <v>0.16526845637583892</v>
      </c>
      <c r="J30" s="5058">
        <v>654</v>
      </c>
      <c r="K30" s="5059">
        <v>439</v>
      </c>
      <c r="L30" s="5062">
        <f>SUM(J30:K30)</f>
        <v>1093</v>
      </c>
      <c r="M30" s="5054">
        <f>L30/$L$33</f>
        <v>0.15142698808534219</v>
      </c>
      <c r="N30" s="4986"/>
      <c r="O30" s="4986"/>
      <c r="P30" s="2325"/>
      <c r="Q30" s="2325"/>
      <c r="R30" s="2325"/>
      <c r="S30" s="2325"/>
      <c r="T30" s="2325"/>
      <c r="U30" s="2325"/>
      <c r="V30" s="2325"/>
      <c r="W30" s="2325"/>
      <c r="X30" s="2325"/>
    </row>
    <row r="31" spans="1:24" ht="14.4" customHeight="1">
      <c r="A31" s="2321" t="s">
        <v>983</v>
      </c>
      <c r="B31" s="5024">
        <v>123</v>
      </c>
      <c r="C31" s="5024">
        <v>239</v>
      </c>
      <c r="D31" s="5025">
        <f>SUM(B31:C31)</f>
        <v>362</v>
      </c>
      <c r="E31" s="5026">
        <f>D31/$D$33</f>
        <v>4.9480590486604699E-2</v>
      </c>
      <c r="F31" s="5024">
        <v>4</v>
      </c>
      <c r="G31" s="5024">
        <v>19</v>
      </c>
      <c r="H31" s="5025">
        <f>SUM(F31:G31)</f>
        <v>23</v>
      </c>
      <c r="I31" s="5026">
        <f>H31/$H$33</f>
        <v>3.2158836689038031E-3</v>
      </c>
      <c r="J31" s="5058">
        <v>4</v>
      </c>
      <c r="K31" s="5059">
        <v>19</v>
      </c>
      <c r="L31" s="5062">
        <f>SUM(J31:K31)</f>
        <v>23</v>
      </c>
      <c r="M31" s="5054">
        <f>L31/$L$33</f>
        <v>3.1864782488223884E-3</v>
      </c>
      <c r="N31" s="5752" t="s">
        <v>1971</v>
      </c>
      <c r="O31" s="5753"/>
      <c r="P31" s="2325"/>
      <c r="Q31" s="2325"/>
      <c r="R31" s="2325"/>
      <c r="S31" s="2325"/>
      <c r="T31" s="2325"/>
      <c r="U31" s="2325"/>
      <c r="V31" s="2325"/>
      <c r="W31" s="2325"/>
      <c r="X31" s="2325"/>
    </row>
    <row r="32" spans="1:24" ht="15" thickBot="1">
      <c r="A32" s="2341" t="s">
        <v>984</v>
      </c>
      <c r="B32" s="5027">
        <v>23</v>
      </c>
      <c r="C32" s="5027">
        <v>51</v>
      </c>
      <c r="D32" s="5028">
        <f>+B32+C32</f>
        <v>74</v>
      </c>
      <c r="E32" s="5029">
        <f>D32/$D$33</f>
        <v>1.0114816839803172E-2</v>
      </c>
      <c r="F32" s="5027">
        <v>24</v>
      </c>
      <c r="G32" s="5027">
        <v>50</v>
      </c>
      <c r="H32" s="5028">
        <f>+F32+G32</f>
        <v>74</v>
      </c>
      <c r="I32" s="5029">
        <f>H32/$H$33</f>
        <v>1.034675615212528E-2</v>
      </c>
      <c r="J32" s="5060">
        <v>24</v>
      </c>
      <c r="K32" s="5061">
        <v>52</v>
      </c>
      <c r="L32" s="5063">
        <f>+J32+K32</f>
        <v>76</v>
      </c>
      <c r="M32" s="5057">
        <f>L32/$L$33</f>
        <v>1.0529232474369632E-2</v>
      </c>
      <c r="N32" s="5754"/>
      <c r="O32" s="5755"/>
      <c r="P32" s="2325"/>
      <c r="Q32" s="2325"/>
      <c r="R32" s="2325"/>
      <c r="S32" s="2325"/>
      <c r="T32" s="2325"/>
      <c r="U32" s="2325"/>
      <c r="V32" s="2325"/>
      <c r="W32" s="2325"/>
      <c r="X32" s="2325"/>
    </row>
    <row r="33" spans="1:24" ht="15" thickBot="1">
      <c r="A33" s="2345" t="s">
        <v>151</v>
      </c>
      <c r="B33" s="5030">
        <f>SUM(B28:B32)</f>
        <v>3121</v>
      </c>
      <c r="C33" s="5031">
        <f>SUM(C28:C32)</f>
        <v>4195</v>
      </c>
      <c r="D33" s="5032">
        <f>SUM(B33:C33)</f>
        <v>7316</v>
      </c>
      <c r="E33" s="5033" t="s">
        <v>1357</v>
      </c>
      <c r="F33" s="5030">
        <f>SUM(F28:F32)</f>
        <v>3055</v>
      </c>
      <c r="G33" s="5031">
        <f>SUM(G28:G32)</f>
        <v>4097</v>
      </c>
      <c r="H33" s="5032">
        <f>SUM(F33:G33)</f>
        <v>7152</v>
      </c>
      <c r="I33" s="5033" t="s">
        <v>1357</v>
      </c>
      <c r="J33" s="2337">
        <f>SUM(J28:J32)</f>
        <v>3071</v>
      </c>
      <c r="K33" s="2338">
        <f>SUM(K28:K32)</f>
        <v>4147</v>
      </c>
      <c r="L33" s="2339">
        <f>SUM(J33:K33)</f>
        <v>7218</v>
      </c>
      <c r="M33" s="4992" t="s">
        <v>1357</v>
      </c>
      <c r="N33" s="5768">
        <f>-H33+L33</f>
        <v>66</v>
      </c>
      <c r="O33" s="2350" t="s">
        <v>1420</v>
      </c>
      <c r="P33" s="2325"/>
      <c r="Q33" s="2325"/>
      <c r="R33" s="2325"/>
      <c r="S33" s="2325"/>
      <c r="T33" s="2325"/>
      <c r="U33" s="2325"/>
      <c r="V33" s="2325"/>
      <c r="W33" s="2325"/>
      <c r="X33" s="2325"/>
    </row>
    <row r="34" spans="1:24" ht="24" thickBot="1">
      <c r="A34" s="2325"/>
      <c r="B34" s="5034" t="s">
        <v>1348</v>
      </c>
      <c r="C34" s="5035">
        <v>4.5</v>
      </c>
      <c r="D34" s="5036">
        <f>D33*C34</f>
        <v>32922</v>
      </c>
      <c r="E34" s="5037" t="s">
        <v>1359</v>
      </c>
      <c r="F34" s="5034" t="s">
        <v>1348</v>
      </c>
      <c r="G34" s="5035">
        <f>G19</f>
        <v>4.5</v>
      </c>
      <c r="H34" s="5036">
        <f>H33*G34</f>
        <v>32184</v>
      </c>
      <c r="I34" s="5037" t="s">
        <v>1359</v>
      </c>
      <c r="J34" s="2342" t="s">
        <v>1348</v>
      </c>
      <c r="K34" s="2343">
        <f>K19</f>
        <v>4.5</v>
      </c>
      <c r="L34" s="2323">
        <f>L33*K34</f>
        <v>32481</v>
      </c>
      <c r="M34" s="2344" t="s">
        <v>1359</v>
      </c>
      <c r="N34" s="5769"/>
      <c r="O34" s="2349">
        <f>L33/H33-1</f>
        <v>9.2281879194631156E-3</v>
      </c>
      <c r="P34" s="2325"/>
      <c r="Q34" s="2325"/>
      <c r="R34" s="2325"/>
      <c r="S34" s="2325"/>
      <c r="T34" s="2325"/>
      <c r="U34" s="2325"/>
      <c r="V34" s="2325"/>
      <c r="W34" s="2325"/>
      <c r="X34" s="2325"/>
    </row>
    <row r="35" spans="1:24" ht="15" thickBot="1">
      <c r="A35" s="2333"/>
      <c r="B35" s="5011"/>
      <c r="C35" s="5038" t="s">
        <v>195</v>
      </c>
      <c r="D35" s="5039">
        <f>SUM(D33:D34)</f>
        <v>40238</v>
      </c>
      <c r="E35" s="5013"/>
      <c r="F35" s="5011"/>
      <c r="G35" s="5038" t="s">
        <v>195</v>
      </c>
      <c r="H35" s="5039">
        <f>SUM(H33:H34)</f>
        <v>39336</v>
      </c>
      <c r="I35" s="5013"/>
      <c r="J35" s="4982"/>
      <c r="K35" s="318" t="s">
        <v>195</v>
      </c>
      <c r="L35" s="4993">
        <f>SUM(L33:L34)</f>
        <v>39699</v>
      </c>
      <c r="M35" s="4985"/>
      <c r="N35" s="4986"/>
      <c r="O35" s="4986"/>
      <c r="P35" s="2325"/>
      <c r="Q35" s="2325"/>
      <c r="R35" s="2325"/>
      <c r="S35" s="2325"/>
      <c r="T35" s="2325"/>
      <c r="U35" s="2325"/>
      <c r="V35" s="2325"/>
      <c r="W35" s="2325"/>
      <c r="X35" s="2325"/>
    </row>
    <row r="36" spans="1:24" ht="15" customHeight="1" thickBot="1">
      <c r="A36" s="2340"/>
      <c r="B36" s="5761" t="s">
        <v>1391</v>
      </c>
      <c r="C36" s="5762"/>
      <c r="D36" s="5762"/>
      <c r="E36" s="5762"/>
      <c r="F36" s="5761" t="str">
        <f>F15</f>
        <v>Dato AL 30jul021; Dir. Calidad, email; (PiA)</v>
      </c>
      <c r="G36" s="5762"/>
      <c r="H36" s="5762"/>
      <c r="I36" s="5762"/>
      <c r="J36" s="5788" t="str">
        <f>J15</f>
        <v>Dato al 30 MAYO 2022  Dir, Calidad; email 13may2022</v>
      </c>
      <c r="K36" s="5789"/>
      <c r="L36" s="5789"/>
      <c r="M36" s="5790"/>
      <c r="N36" s="4986"/>
      <c r="O36" s="4986"/>
      <c r="P36" s="2325"/>
      <c r="Q36" s="2325"/>
      <c r="R36" s="2325"/>
      <c r="S36" s="2325"/>
      <c r="T36" s="2325"/>
      <c r="U36" s="2325"/>
      <c r="V36" s="2325"/>
      <c r="W36" s="2325"/>
      <c r="X36" s="2325"/>
    </row>
    <row r="37" spans="1:24" ht="15" thickBot="1">
      <c r="A37" s="2325"/>
      <c r="B37" s="4995"/>
      <c r="C37" s="4995"/>
      <c r="D37" s="4995"/>
      <c r="E37" s="4995"/>
      <c r="F37" s="4995"/>
      <c r="G37" s="4995"/>
      <c r="H37" s="4995"/>
      <c r="I37" s="4995"/>
      <c r="J37" s="4986"/>
      <c r="K37" s="4986"/>
      <c r="L37" s="4986"/>
      <c r="M37" s="4986"/>
      <c r="N37" s="4986"/>
      <c r="O37" s="4986"/>
      <c r="P37" s="2325"/>
      <c r="Q37" s="2325"/>
      <c r="R37" s="2325"/>
      <c r="S37" s="2325"/>
      <c r="T37" s="2325"/>
      <c r="U37" s="2325"/>
      <c r="V37" s="2325"/>
      <c r="W37" s="2325"/>
      <c r="X37" s="2325"/>
    </row>
    <row r="38" spans="1:24" ht="43.2" customHeight="1">
      <c r="A38" s="5759" t="s">
        <v>1124</v>
      </c>
      <c r="B38" s="5766" t="s">
        <v>1436</v>
      </c>
      <c r="C38" s="5767"/>
      <c r="D38" s="5767"/>
      <c r="E38" s="5040">
        <f>D33/D11</f>
        <v>0.17015932085126179</v>
      </c>
      <c r="F38" s="5766" t="s">
        <v>1440</v>
      </c>
      <c r="G38" s="5767"/>
      <c r="H38" s="5767"/>
      <c r="I38" s="5040">
        <f>H35/H13</f>
        <v>0.23315403422982886</v>
      </c>
      <c r="J38" s="5773" t="s">
        <v>1440</v>
      </c>
      <c r="K38" s="5774"/>
      <c r="L38" s="5774"/>
      <c r="M38" s="2348">
        <f>L35/L13</f>
        <v>0.22981406011207337</v>
      </c>
      <c r="N38" s="4986"/>
      <c r="O38" s="4986"/>
      <c r="P38" s="2325"/>
      <c r="Q38" s="2325"/>
      <c r="R38" s="2325"/>
      <c r="S38" s="2325"/>
      <c r="T38" s="2325"/>
      <c r="U38" s="2325"/>
      <c r="V38" s="2325"/>
      <c r="W38" s="2325"/>
      <c r="X38" s="2325"/>
    </row>
    <row r="39" spans="1:24" ht="15" customHeight="1" thickBot="1">
      <c r="A39" s="5760"/>
      <c r="B39" s="5765" t="s">
        <v>1394</v>
      </c>
      <c r="C39" s="5763"/>
      <c r="D39" s="5763"/>
      <c r="E39" s="5764"/>
      <c r="F39" s="5765" t="str">
        <f>F36</f>
        <v>Dato AL 30jul021; Dir. Calidad, email; (PiA)</v>
      </c>
      <c r="G39" s="5763"/>
      <c r="H39" s="5763"/>
      <c r="I39" s="5764"/>
      <c r="J39" s="5775" t="str">
        <f>J36</f>
        <v>Dato al 30 MAYO 2022  Dir, Calidad; email 13may2022</v>
      </c>
      <c r="K39" s="5776"/>
      <c r="L39" s="5776"/>
      <c r="M39" s="5777"/>
      <c r="N39" s="4986"/>
      <c r="O39" s="4986"/>
      <c r="P39" s="2325"/>
      <c r="Q39" s="2325"/>
      <c r="R39" s="2325"/>
      <c r="S39" s="2325"/>
      <c r="T39" s="2325"/>
      <c r="U39" s="2325"/>
      <c r="V39" s="2325"/>
      <c r="W39" s="2325"/>
      <c r="X39" s="2325"/>
    </row>
    <row r="40" spans="1:24">
      <c r="A40" s="2325"/>
      <c r="B40" s="4995"/>
      <c r="C40" s="4995"/>
      <c r="D40" s="4995"/>
      <c r="E40" s="4995"/>
      <c r="F40" s="4995"/>
      <c r="G40" s="4995"/>
      <c r="H40" s="4995"/>
      <c r="I40" s="4995"/>
      <c r="J40" s="4986"/>
      <c r="K40" s="4986"/>
      <c r="L40" s="4986"/>
      <c r="M40" s="4986"/>
      <c r="N40" s="4986"/>
      <c r="O40" s="4986"/>
      <c r="P40" s="2325"/>
      <c r="Q40" s="2325"/>
      <c r="R40" s="2325"/>
      <c r="S40" s="2325"/>
      <c r="T40" s="2325"/>
      <c r="U40" s="2325"/>
      <c r="V40" s="2325"/>
      <c r="W40" s="2325"/>
      <c r="X40" s="2325"/>
    </row>
    <row r="41" spans="1:24" ht="15" thickBot="1">
      <c r="A41" s="2325"/>
      <c r="B41" s="4995"/>
      <c r="C41" s="4995"/>
      <c r="D41" s="4995"/>
      <c r="E41" s="4995"/>
      <c r="F41" s="4995"/>
      <c r="G41" s="4995"/>
      <c r="H41" s="4995"/>
      <c r="I41" s="4995"/>
      <c r="J41" s="4986"/>
      <c r="K41" s="4986"/>
      <c r="L41" s="4986"/>
      <c r="M41" s="4986"/>
      <c r="N41" s="4986"/>
      <c r="O41" s="4986"/>
      <c r="P41" s="2325"/>
      <c r="Q41" s="2325"/>
      <c r="R41" s="2325"/>
      <c r="S41" s="2325"/>
      <c r="T41" s="2325"/>
      <c r="U41" s="2325"/>
      <c r="V41" s="2325"/>
      <c r="W41" s="2325"/>
      <c r="X41" s="2325"/>
    </row>
    <row r="42" spans="1:24">
      <c r="A42" s="5756" t="s">
        <v>1093</v>
      </c>
      <c r="B42" s="5757"/>
      <c r="C42" s="5757"/>
      <c r="D42" s="5758"/>
      <c r="E42" s="4995"/>
      <c r="F42" s="4995"/>
      <c r="G42" s="4995"/>
      <c r="H42" s="4995"/>
      <c r="I42" s="4995"/>
      <c r="J42" s="4986"/>
      <c r="K42" s="4986"/>
      <c r="L42" s="4986"/>
      <c r="M42" s="4986"/>
      <c r="N42" s="4986"/>
      <c r="O42" s="4986"/>
      <c r="P42" s="2325"/>
      <c r="Q42" s="2325"/>
      <c r="R42" s="2325"/>
      <c r="S42" s="2325"/>
      <c r="T42" s="2325"/>
      <c r="U42" s="2325"/>
      <c r="V42" s="2325"/>
      <c r="W42" s="2325"/>
      <c r="X42" s="2325"/>
    </row>
    <row r="43" spans="1:24">
      <c r="A43" s="2329"/>
      <c r="B43" s="5019"/>
      <c r="C43" s="5019"/>
      <c r="D43" s="5020"/>
      <c r="E43" s="4995"/>
      <c r="F43" s="4995"/>
      <c r="G43" s="4995"/>
      <c r="H43" s="4995"/>
      <c r="I43" s="4995"/>
      <c r="J43" s="4986"/>
      <c r="K43" s="4986"/>
      <c r="L43" s="4986"/>
      <c r="M43" s="4986"/>
      <c r="N43" s="4986"/>
      <c r="O43" s="4986"/>
      <c r="P43" s="2325"/>
      <c r="Q43" s="2325"/>
      <c r="R43" s="2325"/>
      <c r="S43" s="2325"/>
      <c r="T43" s="2325"/>
      <c r="U43" s="2325"/>
      <c r="V43" s="2325"/>
      <c r="W43" s="2325"/>
      <c r="X43" s="2325"/>
    </row>
    <row r="44" spans="1:24" ht="15" thickBot="1">
      <c r="A44" s="5770" t="s">
        <v>1131</v>
      </c>
      <c r="B44" s="5771"/>
      <c r="C44" s="5771"/>
      <c r="D44" s="5772"/>
      <c r="E44" s="4995"/>
      <c r="F44" s="4995"/>
      <c r="G44" s="4995"/>
      <c r="H44" s="4995"/>
      <c r="I44" s="4995"/>
      <c r="J44" s="4986"/>
      <c r="K44" s="4986"/>
      <c r="L44" s="4986"/>
      <c r="M44" s="4986"/>
      <c r="N44" s="4986"/>
      <c r="O44" s="4986"/>
      <c r="P44" s="2325"/>
      <c r="Q44" s="2325"/>
      <c r="R44" s="2325"/>
      <c r="S44" s="2325"/>
      <c r="T44" s="2325"/>
      <c r="U44" s="2325"/>
      <c r="V44" s="2325"/>
      <c r="W44" s="2325"/>
      <c r="X44" s="2325"/>
    </row>
    <row r="45" spans="1:24" ht="15" thickBot="1">
      <c r="A45" s="2329"/>
      <c r="B45" s="5749">
        <v>2020</v>
      </c>
      <c r="C45" s="5750"/>
      <c r="D45" s="5750"/>
      <c r="E45" s="5751"/>
      <c r="F45" s="5749">
        <v>2021</v>
      </c>
      <c r="G45" s="5750"/>
      <c r="H45" s="5750"/>
      <c r="I45" s="5751"/>
      <c r="J45" s="5778">
        <v>2022</v>
      </c>
      <c r="K45" s="5779"/>
      <c r="L45" s="5779"/>
      <c r="M45" s="5780"/>
      <c r="N45" s="4986"/>
      <c r="O45" s="4986"/>
      <c r="P45" s="2325"/>
      <c r="Q45" s="2325"/>
      <c r="R45" s="2325"/>
      <c r="S45" s="2325"/>
      <c r="T45" s="2325"/>
      <c r="U45" s="2325"/>
      <c r="V45" s="2325"/>
      <c r="W45" s="2325"/>
      <c r="X45" s="2325"/>
    </row>
    <row r="46" spans="1:24" ht="16.2" thickBot="1">
      <c r="A46" s="2336"/>
      <c r="B46" s="5041" t="s">
        <v>465</v>
      </c>
      <c r="C46" s="5021" t="s">
        <v>466</v>
      </c>
      <c r="D46" s="5022" t="s">
        <v>32</v>
      </c>
      <c r="E46" s="5023" t="s">
        <v>1435</v>
      </c>
      <c r="F46" s="5041" t="s">
        <v>465</v>
      </c>
      <c r="G46" s="5021" t="s">
        <v>466</v>
      </c>
      <c r="H46" s="5022" t="s">
        <v>32</v>
      </c>
      <c r="I46" s="5023" t="s">
        <v>1435</v>
      </c>
      <c r="J46" s="4990" t="s">
        <v>465</v>
      </c>
      <c r="K46" s="4990" t="s">
        <v>466</v>
      </c>
      <c r="L46" s="4991" t="s">
        <v>32</v>
      </c>
      <c r="M46" s="4994" t="s">
        <v>1435</v>
      </c>
      <c r="N46" s="4986"/>
      <c r="O46" s="4986"/>
      <c r="P46" s="2325"/>
      <c r="Q46" s="2325"/>
      <c r="R46" s="2325"/>
      <c r="S46" s="2325"/>
      <c r="T46" s="2325"/>
      <c r="U46" s="2325"/>
      <c r="V46" s="2325"/>
      <c r="W46" s="2325"/>
      <c r="X46" s="2325"/>
    </row>
    <row r="47" spans="1:24" ht="14.4" customHeight="1">
      <c r="A47" s="2336" t="s">
        <v>1129</v>
      </c>
      <c r="B47" s="5042">
        <v>1494</v>
      </c>
      <c r="C47" s="5024">
        <v>1612</v>
      </c>
      <c r="D47" s="5025">
        <f>SUM(B47:C47)</f>
        <v>3106</v>
      </c>
      <c r="E47" s="5026">
        <f>D47/$D$49</f>
        <v>0.61823248407643316</v>
      </c>
      <c r="F47" s="5042">
        <v>1387</v>
      </c>
      <c r="G47" s="5024">
        <v>1418</v>
      </c>
      <c r="H47" s="5025">
        <f>SUM(F47:G47)</f>
        <v>2805</v>
      </c>
      <c r="I47" s="5026">
        <f>H47/$H$49</f>
        <v>0.61004784688995217</v>
      </c>
      <c r="J47" s="5064">
        <v>1431</v>
      </c>
      <c r="K47" s="5064">
        <v>1459</v>
      </c>
      <c r="L47" s="5065">
        <f>SUM(J47:K47)</f>
        <v>2890</v>
      </c>
      <c r="M47" s="5066">
        <f>L47/$L$49</f>
        <v>0.60296265387022741</v>
      </c>
      <c r="N47" s="5752" t="s">
        <v>1971</v>
      </c>
      <c r="O47" s="5753"/>
      <c r="P47" s="2325"/>
      <c r="Q47" s="2325"/>
      <c r="R47" s="2325"/>
      <c r="S47" s="2325"/>
      <c r="T47" s="2325"/>
      <c r="U47" s="2325"/>
      <c r="V47" s="2325"/>
      <c r="W47" s="2325"/>
      <c r="X47" s="2325"/>
    </row>
    <row r="48" spans="1:24" ht="15" thickBot="1">
      <c r="A48" s="2347" t="s">
        <v>1130</v>
      </c>
      <c r="B48" s="5042">
        <v>971</v>
      </c>
      <c r="C48" s="5024">
        <v>947</v>
      </c>
      <c r="D48" s="5025">
        <f>SUM(B48:C48)</f>
        <v>1918</v>
      </c>
      <c r="E48" s="5026">
        <f>D48/$D$49</f>
        <v>0.38176751592356689</v>
      </c>
      <c r="F48" s="5042">
        <v>920</v>
      </c>
      <c r="G48" s="5024">
        <v>873</v>
      </c>
      <c r="H48" s="5025">
        <f>SUM(F48:G48)</f>
        <v>1793</v>
      </c>
      <c r="I48" s="5026">
        <f>H48/$H$49</f>
        <v>0.38995215311004783</v>
      </c>
      <c r="J48" s="5067">
        <v>968</v>
      </c>
      <c r="K48" s="5067">
        <v>935</v>
      </c>
      <c r="L48" s="5068">
        <f>SUM(J48:K48)</f>
        <v>1903</v>
      </c>
      <c r="M48" s="5066">
        <f>L48/$L$49</f>
        <v>0.39703734612977259</v>
      </c>
      <c r="N48" s="5754"/>
      <c r="O48" s="5755"/>
      <c r="P48" s="2325"/>
      <c r="Q48" s="2325"/>
      <c r="R48" s="2325"/>
      <c r="S48" s="2325"/>
      <c r="T48" s="2325"/>
      <c r="U48" s="2325"/>
      <c r="V48" s="2325"/>
      <c r="W48" s="2325"/>
      <c r="X48" s="2325"/>
    </row>
    <row r="49" spans="1:24" ht="15" thickBot="1">
      <c r="A49" s="2345" t="s">
        <v>32</v>
      </c>
      <c r="B49" s="5030">
        <f>B47+B48</f>
        <v>2465</v>
      </c>
      <c r="C49" s="5031">
        <f>C47+C48</f>
        <v>2559</v>
      </c>
      <c r="D49" s="5032">
        <f>D47+D48</f>
        <v>5024</v>
      </c>
      <c r="E49" s="5033" t="s">
        <v>1357</v>
      </c>
      <c r="F49" s="5030">
        <f>SUM(F47:F48)</f>
        <v>2307</v>
      </c>
      <c r="G49" s="5031">
        <f>SUM(G47:G48)</f>
        <v>2291</v>
      </c>
      <c r="H49" s="5032">
        <f>SUM(H47:H48)</f>
        <v>4598</v>
      </c>
      <c r="I49" s="5033" t="s">
        <v>1357</v>
      </c>
      <c r="J49" s="2337">
        <f>SUM(J47:J48)</f>
        <v>2399</v>
      </c>
      <c r="K49" s="2338">
        <f>SUM(K47:K48)</f>
        <v>2394</v>
      </c>
      <c r="L49" s="2339">
        <f>SUM(L47:L48)</f>
        <v>4793</v>
      </c>
      <c r="M49" s="4992" t="s">
        <v>1357</v>
      </c>
      <c r="N49" s="5768">
        <f>-H49+L49</f>
        <v>195</v>
      </c>
      <c r="O49" s="2350" t="s">
        <v>1420</v>
      </c>
      <c r="P49" s="2325"/>
      <c r="Q49" s="2325"/>
      <c r="R49" s="2325"/>
      <c r="S49" s="2325"/>
      <c r="T49" s="2325"/>
      <c r="U49" s="2325"/>
      <c r="V49" s="2325"/>
      <c r="W49" s="2325"/>
      <c r="X49" s="2325"/>
    </row>
    <row r="50" spans="1:24" ht="24" thickBot="1">
      <c r="A50" s="2329"/>
      <c r="B50" s="5034" t="s">
        <v>1348</v>
      </c>
      <c r="C50" s="5035">
        <v>4.5</v>
      </c>
      <c r="D50" s="5043">
        <f>D49*C50</f>
        <v>22608</v>
      </c>
      <c r="E50" s="5044" t="s">
        <v>1359</v>
      </c>
      <c r="F50" s="5034" t="s">
        <v>1348</v>
      </c>
      <c r="G50" s="5035">
        <f>G34</f>
        <v>4.5</v>
      </c>
      <c r="H50" s="5043">
        <f>H49*G50</f>
        <v>20691</v>
      </c>
      <c r="I50" s="5044" t="s">
        <v>1359</v>
      </c>
      <c r="J50" s="2342" t="s">
        <v>1348</v>
      </c>
      <c r="K50" s="2343">
        <f>K34</f>
        <v>4.5</v>
      </c>
      <c r="L50" s="2323">
        <f>L49*K50</f>
        <v>21568.5</v>
      </c>
      <c r="M50" s="2344" t="s">
        <v>1359</v>
      </c>
      <c r="N50" s="5769"/>
      <c r="O50" s="2349">
        <f>L49/H49-1</f>
        <v>4.2409743366681241E-2</v>
      </c>
      <c r="P50" s="2325"/>
      <c r="Q50" s="2325"/>
      <c r="R50" s="2325"/>
      <c r="S50" s="2325"/>
      <c r="T50" s="2325"/>
      <c r="U50" s="2325"/>
      <c r="V50" s="2325"/>
      <c r="W50" s="2325"/>
      <c r="X50" s="2325"/>
    </row>
    <row r="51" spans="1:24" ht="15" thickBot="1">
      <c r="A51" s="2333"/>
      <c r="B51" s="5011"/>
      <c r="C51" s="5045" t="s">
        <v>195</v>
      </c>
      <c r="D51" s="5046">
        <f>SUM(D49:D50)</f>
        <v>27632</v>
      </c>
      <c r="E51" s="5013"/>
      <c r="F51" s="5011"/>
      <c r="G51" s="5045" t="s">
        <v>195</v>
      </c>
      <c r="H51" s="5046">
        <f>SUM(H49:H50)</f>
        <v>25289</v>
      </c>
      <c r="I51" s="5013"/>
      <c r="J51" s="4982"/>
      <c r="K51" s="318" t="s">
        <v>195</v>
      </c>
      <c r="L51" s="4993">
        <f>SUM(L49:L50)</f>
        <v>26361.5</v>
      </c>
      <c r="M51" s="4985"/>
      <c r="N51" s="4986"/>
      <c r="O51" s="4986"/>
      <c r="P51" s="2325"/>
      <c r="Q51" s="2325"/>
      <c r="R51" s="2325"/>
      <c r="S51" s="2325"/>
      <c r="T51" s="2325"/>
      <c r="U51" s="2325"/>
      <c r="V51" s="2325"/>
      <c r="W51" s="2325"/>
      <c r="X51" s="2325"/>
    </row>
    <row r="52" spans="1:24" ht="15" thickBot="1">
      <c r="A52" s="2325"/>
      <c r="B52" s="4995"/>
      <c r="C52" s="4995"/>
      <c r="D52" s="4995"/>
      <c r="E52" s="4995"/>
      <c r="F52" s="4995"/>
      <c r="G52" s="4995"/>
      <c r="H52" s="4995"/>
      <c r="I52" s="4995"/>
      <c r="J52" s="4986"/>
      <c r="K52" s="4986"/>
      <c r="L52" s="4986"/>
      <c r="M52" s="4986"/>
      <c r="N52" s="4986"/>
      <c r="O52" s="4986"/>
      <c r="P52" s="2325"/>
      <c r="Q52" s="2325"/>
      <c r="R52" s="2325"/>
      <c r="S52" s="2325"/>
      <c r="T52" s="2325"/>
      <c r="U52" s="2325"/>
      <c r="V52" s="2325"/>
      <c r="W52" s="2325"/>
      <c r="X52" s="2325"/>
    </row>
    <row r="53" spans="1:24" ht="44.4" customHeight="1">
      <c r="A53" s="5759" t="s">
        <v>1124</v>
      </c>
      <c r="B53" s="5781" t="s">
        <v>1393</v>
      </c>
      <c r="C53" s="5782"/>
      <c r="D53" s="5782"/>
      <c r="E53" s="5047">
        <f>D49/D11</f>
        <v>0.1168507966042563</v>
      </c>
      <c r="F53" s="5781" t="s">
        <v>1441</v>
      </c>
      <c r="G53" s="5782"/>
      <c r="H53" s="5782"/>
      <c r="I53" s="5047">
        <f>H51/H13</f>
        <v>0.14989405052974736</v>
      </c>
      <c r="J53" s="5783" t="s">
        <v>1441</v>
      </c>
      <c r="K53" s="5784"/>
      <c r="L53" s="5784"/>
      <c r="M53" s="2346">
        <f>L51/L13</f>
        <v>0.1526044319918492</v>
      </c>
      <c r="N53" s="4986"/>
      <c r="O53" s="4986"/>
      <c r="P53" s="2325"/>
      <c r="Q53" s="2325"/>
      <c r="R53" s="2325"/>
      <c r="S53" s="2325"/>
      <c r="T53" s="2325"/>
      <c r="U53" s="2325"/>
      <c r="V53" s="2325"/>
      <c r="W53" s="2325"/>
      <c r="X53" s="2325"/>
    </row>
    <row r="54" spans="1:24" ht="15" customHeight="1" thickBot="1">
      <c r="A54" s="5760"/>
      <c r="B54" s="5765" t="s">
        <v>1394</v>
      </c>
      <c r="C54" s="5763"/>
      <c r="D54" s="5763"/>
      <c r="E54" s="5764"/>
      <c r="F54" s="5765" t="str">
        <f>F39</f>
        <v>Dato AL 30jul021; Dir. Calidad, email; (PiA)</v>
      </c>
      <c r="G54" s="5763"/>
      <c r="H54" s="5763"/>
      <c r="I54" s="5764"/>
      <c r="J54" s="5775" t="str">
        <f>J39</f>
        <v>Dato al 30 MAYO 2022  Dir, Calidad; email 13may2022</v>
      </c>
      <c r="K54" s="5776"/>
      <c r="L54" s="5776"/>
      <c r="M54" s="5777"/>
      <c r="N54" s="4986"/>
      <c r="O54" s="4986"/>
      <c r="P54" s="2325"/>
      <c r="Q54" s="2325"/>
      <c r="R54" s="2325"/>
      <c r="S54" s="2325"/>
      <c r="T54" s="2325"/>
      <c r="U54" s="2325"/>
      <c r="V54" s="2325"/>
      <c r="W54" s="2325"/>
      <c r="X54" s="2325"/>
    </row>
    <row r="55" spans="1:24">
      <c r="A55" s="2325"/>
      <c r="B55" s="4995"/>
      <c r="C55" s="4995"/>
      <c r="D55" s="4995"/>
      <c r="E55" s="4995"/>
      <c r="F55" s="4995"/>
      <c r="G55" s="4995"/>
      <c r="H55" s="4995"/>
      <c r="I55" s="4995"/>
      <c r="J55" s="4986"/>
      <c r="K55" s="4986"/>
      <c r="L55" s="4986"/>
      <c r="M55" s="4986"/>
      <c r="N55" s="4986"/>
      <c r="O55" s="4986"/>
      <c r="P55" s="2325"/>
      <c r="Q55" s="2325"/>
      <c r="R55" s="2325"/>
      <c r="S55" s="2325"/>
      <c r="T55" s="2325"/>
      <c r="U55" s="2325"/>
      <c r="V55" s="2325"/>
      <c r="W55" s="2325"/>
      <c r="X55" s="2325"/>
    </row>
  </sheetData>
  <mergeCells count="40">
    <mergeCell ref="J4:M4"/>
    <mergeCell ref="J14:M14"/>
    <mergeCell ref="J15:M15"/>
    <mergeCell ref="J26:M26"/>
    <mergeCell ref="J36:M36"/>
    <mergeCell ref="N49:N50"/>
    <mergeCell ref="A53:A54"/>
    <mergeCell ref="B53:D53"/>
    <mergeCell ref="F53:H53"/>
    <mergeCell ref="B54:E54"/>
    <mergeCell ref="F54:I54"/>
    <mergeCell ref="J53:L53"/>
    <mergeCell ref="J54:M54"/>
    <mergeCell ref="B26:E26"/>
    <mergeCell ref="F26:I26"/>
    <mergeCell ref="N31:O32"/>
    <mergeCell ref="N47:O48"/>
    <mergeCell ref="N11:N12"/>
    <mergeCell ref="N33:N34"/>
    <mergeCell ref="A44:D44"/>
    <mergeCell ref="B45:E45"/>
    <mergeCell ref="J38:L38"/>
    <mergeCell ref="J39:M39"/>
    <mergeCell ref="J45:M45"/>
    <mergeCell ref="F4:I4"/>
    <mergeCell ref="B4:E4"/>
    <mergeCell ref="F14:I14"/>
    <mergeCell ref="F45:I45"/>
    <mergeCell ref="N9:O10"/>
    <mergeCell ref="A42:D42"/>
    <mergeCell ref="A38:A39"/>
    <mergeCell ref="B36:E36"/>
    <mergeCell ref="F36:I36"/>
    <mergeCell ref="B15:E15"/>
    <mergeCell ref="B14:E14"/>
    <mergeCell ref="F15:I15"/>
    <mergeCell ref="B39:E39"/>
    <mergeCell ref="F39:I39"/>
    <mergeCell ref="F38:H38"/>
    <mergeCell ref="B38:D38"/>
  </mergeCells>
  <pageMargins left="0.7" right="0.7" top="0.75" bottom="0.75" header="0.3" footer="0.3"/>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1:AN74"/>
  <sheetViews>
    <sheetView showGridLines="0" topLeftCell="AG1" zoomScaleNormal="100" workbookViewId="0">
      <selection activeCell="AO1" sqref="AO1:XFD1048576"/>
    </sheetView>
  </sheetViews>
  <sheetFormatPr baseColWidth="10" defaultRowHeight="14.4"/>
  <cols>
    <col min="1" max="2" width="11.44140625" hidden="1" customWidth="1"/>
    <col min="3" max="3" width="30.6640625" hidden="1" customWidth="1"/>
    <col min="4" max="5" width="19" hidden="1" customWidth="1"/>
    <col min="6" max="6" width="11.44140625" hidden="1" customWidth="1"/>
    <col min="7" max="7" width="25.33203125" hidden="1" customWidth="1"/>
    <col min="8" max="8" width="11.44140625" hidden="1" customWidth="1"/>
    <col min="9" max="9" width="32.88671875" hidden="1" customWidth="1"/>
    <col min="10" max="11" width="19" hidden="1" customWidth="1"/>
    <col min="12" max="13" width="11.44140625" hidden="1" customWidth="1"/>
    <col min="14" max="14" width="22.88671875" hidden="1" customWidth="1"/>
    <col min="15" max="15" width="32.88671875" customWidth="1"/>
    <col min="16" max="16" width="19" hidden="1" customWidth="1"/>
    <col min="17" max="17" width="19" customWidth="1"/>
    <col min="18" max="18" width="18" customWidth="1"/>
    <col min="19" max="19" width="9.33203125" customWidth="1"/>
    <col min="20" max="20" width="19.44140625" customWidth="1"/>
    <col min="21" max="22" width="0" hidden="1" customWidth="1"/>
    <col min="24" max="24" width="16.88671875" customWidth="1"/>
    <col min="25" max="25" width="0" hidden="1" customWidth="1"/>
    <col min="26" max="26" width="33.6640625" hidden="1" customWidth="1"/>
    <col min="27" max="29" width="11.44140625" hidden="1" customWidth="1"/>
    <col min="30" max="30" width="11.44140625" customWidth="1"/>
  </cols>
  <sheetData>
    <row r="1" spans="1:40">
      <c r="C1" s="207"/>
      <c r="D1" s="115"/>
      <c r="E1" s="613"/>
      <c r="I1" s="207"/>
      <c r="J1" s="115"/>
      <c r="K1" s="613"/>
      <c r="O1" s="730"/>
      <c r="P1" s="115"/>
      <c r="Q1" s="613"/>
      <c r="R1" s="725"/>
      <c r="S1" s="804"/>
      <c r="Y1" s="48"/>
    </row>
    <row r="2" spans="1:40" ht="17.399999999999999">
      <c r="C2" s="614" t="s">
        <v>327</v>
      </c>
      <c r="D2" s="115"/>
      <c r="E2" s="613"/>
      <c r="I2" s="614" t="s">
        <v>396</v>
      </c>
      <c r="J2" s="115"/>
      <c r="K2" s="613"/>
      <c r="O2" s="726" t="s">
        <v>830</v>
      </c>
      <c r="P2" s="115"/>
      <c r="Q2" s="613"/>
      <c r="R2" s="725"/>
      <c r="S2" s="804"/>
      <c r="Y2" s="48"/>
    </row>
    <row r="3" spans="1:40">
      <c r="C3" s="207"/>
      <c r="D3" s="115"/>
      <c r="E3" s="613"/>
      <c r="I3" s="207"/>
      <c r="J3" s="115"/>
      <c r="K3" s="613"/>
      <c r="O3" s="730"/>
      <c r="P3" s="115"/>
      <c r="Q3" s="613"/>
      <c r="R3" s="725"/>
      <c r="S3" s="804"/>
      <c r="Y3" s="48"/>
    </row>
    <row r="4" spans="1:40">
      <c r="C4" s="208" t="s">
        <v>328</v>
      </c>
      <c r="D4" s="115"/>
      <c r="E4" s="613"/>
      <c r="I4" s="208" t="s">
        <v>328</v>
      </c>
      <c r="J4" s="115"/>
      <c r="K4" s="613"/>
      <c r="O4" s="727" t="s">
        <v>328</v>
      </c>
      <c r="P4" s="115"/>
      <c r="Q4" s="613"/>
      <c r="R4" s="725"/>
      <c r="S4" s="804"/>
      <c r="Y4" s="48"/>
      <c r="Z4" s="208" t="s">
        <v>622</v>
      </c>
      <c r="AA4" s="115"/>
      <c r="AB4" s="613"/>
    </row>
    <row r="5" spans="1:40">
      <c r="C5" s="208" t="s">
        <v>623</v>
      </c>
      <c r="D5" s="115"/>
      <c r="E5" s="613"/>
      <c r="I5" s="208" t="s">
        <v>397</v>
      </c>
      <c r="J5" s="115"/>
      <c r="K5" s="613"/>
      <c r="O5" s="728" t="s">
        <v>832</v>
      </c>
      <c r="P5" s="115"/>
      <c r="Q5" s="613"/>
      <c r="R5" s="725"/>
      <c r="S5" s="804"/>
      <c r="Y5" s="48"/>
      <c r="Z5" s="615" t="str">
        <f>+O5</f>
        <v xml:space="preserve"> Datos de Diciembre 2016</v>
      </c>
      <c r="AA5" s="115"/>
      <c r="AB5" s="613"/>
    </row>
    <row r="6" spans="1:40" ht="15" thickBot="1">
      <c r="C6" s="209"/>
      <c r="D6" s="210"/>
      <c r="E6" s="211"/>
      <c r="I6" s="209"/>
      <c r="J6" s="210"/>
      <c r="K6" s="211"/>
      <c r="O6" s="729"/>
      <c r="P6" s="210"/>
      <c r="Q6" s="211"/>
      <c r="R6" s="211"/>
      <c r="S6" s="805"/>
      <c r="Y6" s="48"/>
      <c r="Z6" s="209"/>
      <c r="AA6" s="210"/>
      <c r="AB6" s="211"/>
    </row>
    <row r="7" spans="1:40" ht="45" thickTop="1" thickBot="1">
      <c r="A7" s="724"/>
      <c r="B7" s="724"/>
      <c r="C7" s="731" t="s">
        <v>625</v>
      </c>
      <c r="D7" s="732" t="s">
        <v>329</v>
      </c>
      <c r="E7" s="733" t="s">
        <v>330</v>
      </c>
      <c r="F7" s="724"/>
      <c r="G7" s="724"/>
      <c r="H7" s="724"/>
      <c r="I7" s="731" t="s">
        <v>625</v>
      </c>
      <c r="J7" s="732" t="s">
        <v>329</v>
      </c>
      <c r="K7" s="733" t="s">
        <v>330</v>
      </c>
      <c r="L7" s="724"/>
      <c r="M7" s="724"/>
      <c r="N7" s="724"/>
      <c r="O7" s="820" t="s">
        <v>625</v>
      </c>
      <c r="P7" s="821" t="s">
        <v>329</v>
      </c>
      <c r="Q7" s="827" t="s">
        <v>827</v>
      </c>
      <c r="R7" s="752" t="s">
        <v>826</v>
      </c>
      <c r="S7" s="806"/>
      <c r="T7" s="801" t="s">
        <v>828</v>
      </c>
      <c r="U7" s="802" t="s">
        <v>822</v>
      </c>
      <c r="V7" s="802"/>
      <c r="W7" s="802" t="s">
        <v>829</v>
      </c>
      <c r="X7" s="803" t="s">
        <v>831</v>
      </c>
      <c r="Y7" s="784"/>
      <c r="Z7" s="731" t="s">
        <v>625</v>
      </c>
      <c r="AA7" s="732" t="s">
        <v>329</v>
      </c>
      <c r="AB7" s="733" t="s">
        <v>330</v>
      </c>
      <c r="AC7" s="724"/>
      <c r="AD7" s="724"/>
      <c r="AE7" s="724"/>
      <c r="AF7" s="724"/>
      <c r="AG7" s="724"/>
      <c r="AH7" s="724"/>
      <c r="AI7" s="724"/>
      <c r="AJ7" s="724"/>
      <c r="AK7" s="724"/>
      <c r="AL7" s="724"/>
      <c r="AM7" s="724"/>
      <c r="AN7" s="724"/>
    </row>
    <row r="8" spans="1:40" ht="15" thickTop="1">
      <c r="C8" s="616"/>
      <c r="D8" s="617"/>
      <c r="E8" s="618"/>
      <c r="H8" s="212"/>
      <c r="I8" s="616"/>
      <c r="J8" s="617"/>
      <c r="K8" s="618"/>
      <c r="O8" s="822" t="s">
        <v>626</v>
      </c>
      <c r="P8" s="811">
        <f>+P10+P30+P32+P39+P46+P52+P57+P66</f>
        <v>115463.49827</v>
      </c>
      <c r="Q8" s="812">
        <f>+P8/$P$8*100</f>
        <v>100</v>
      </c>
      <c r="R8" s="828">
        <v>652912</v>
      </c>
      <c r="S8" s="734"/>
      <c r="T8" s="796" t="str">
        <f>O10</f>
        <v>CENTRO HISTÓRICO</v>
      </c>
      <c r="U8" s="797">
        <f>P10</f>
        <v>77851.341159999996</v>
      </c>
      <c r="V8" s="798">
        <f>Q10</f>
        <v>67.425067078733676</v>
      </c>
      <c r="W8" s="799">
        <f>V8/100</f>
        <v>0.6742506707873368</v>
      </c>
      <c r="X8" s="800">
        <f>$R$8*W8</f>
        <v>440226.35396510165</v>
      </c>
      <c r="Y8" s="785"/>
      <c r="Z8" s="213" t="s">
        <v>53</v>
      </c>
      <c r="AA8" s="619">
        <f>SUM(AA10:AA57)</f>
        <v>130212.27839000001</v>
      </c>
      <c r="AB8" s="620">
        <f>+AA8/$AA$8*100</f>
        <v>100</v>
      </c>
    </row>
    <row r="9" spans="1:40" ht="15" thickBot="1">
      <c r="C9" s="213" t="s">
        <v>627</v>
      </c>
      <c r="D9" s="619">
        <v>53209.455918000058</v>
      </c>
      <c r="E9" s="620">
        <v>53.583195501274659</v>
      </c>
      <c r="H9" s="212"/>
      <c r="I9" s="213" t="s">
        <v>627</v>
      </c>
      <c r="J9" s="619">
        <f>SUM(J10:J26)</f>
        <v>78800.937329999957</v>
      </c>
      <c r="K9" s="620">
        <f>+J9/$J$71*100</f>
        <v>67.199584159524619</v>
      </c>
      <c r="O9" s="837"/>
      <c r="P9" s="838"/>
      <c r="Q9" s="839"/>
      <c r="R9" s="840"/>
      <c r="S9" s="807"/>
      <c r="T9" s="789" t="str">
        <f>O32</f>
        <v>LA MARISCAL</v>
      </c>
      <c r="U9" s="786">
        <f>P32</f>
        <v>13408.424510000001</v>
      </c>
      <c r="V9" s="787">
        <f>Q32</f>
        <v>11.61269553659783</v>
      </c>
      <c r="W9" s="788">
        <f t="shared" ref="W9:W15" si="0">V9/100</f>
        <v>0.11612695536597829</v>
      </c>
      <c r="X9" s="790">
        <f t="shared" ref="X9:X15" si="1">$R$8*W9</f>
        <v>75820.682681911625</v>
      </c>
      <c r="Y9" s="785"/>
      <c r="Z9" s="622"/>
      <c r="AA9" s="623"/>
      <c r="AB9" s="624"/>
    </row>
    <row r="10" spans="1:40">
      <c r="C10" s="214" t="s">
        <v>586</v>
      </c>
      <c r="D10" s="215">
        <v>29411.041913000045</v>
      </c>
      <c r="E10" s="621">
        <v>29.617623062132186</v>
      </c>
      <c r="H10" s="212"/>
      <c r="I10" s="214" t="s">
        <v>586</v>
      </c>
      <c r="J10" s="215">
        <v>34698.041399999966</v>
      </c>
      <c r="K10" s="621">
        <v>29.617623062132186</v>
      </c>
      <c r="O10" s="833" t="s">
        <v>627</v>
      </c>
      <c r="P10" s="834">
        <f>SUM(P11:P28)</f>
        <v>77851.341159999996</v>
      </c>
      <c r="Q10" s="835">
        <f t="shared" ref="Q10:Q28" si="2">+P10/$P$8*100</f>
        <v>67.425067078733676</v>
      </c>
      <c r="R10" s="836">
        <f>$R$8*Q10/100</f>
        <v>440226.35396510159</v>
      </c>
      <c r="S10" s="734"/>
      <c r="T10" s="789" t="str">
        <f>O39</f>
        <v>LOS MIRADORES</v>
      </c>
      <c r="U10" s="786">
        <f>P39</f>
        <v>13587.847599999999</v>
      </c>
      <c r="V10" s="787">
        <f>Q39</f>
        <v>11.768089312716091</v>
      </c>
      <c r="W10" s="788">
        <f t="shared" si="0"/>
        <v>0.11768089312716092</v>
      </c>
      <c r="X10" s="790">
        <f t="shared" si="1"/>
        <v>76835.267293440891</v>
      </c>
      <c r="Y10" s="785"/>
      <c r="Z10" s="622" t="s">
        <v>586</v>
      </c>
      <c r="AA10" s="623">
        <v>34423.538739999996</v>
      </c>
      <c r="AB10" s="624">
        <f t="shared" ref="AB10:AB57" si="3">+AA10/$AA$8*100</f>
        <v>26.436476779015983</v>
      </c>
      <c r="AC10" s="1"/>
    </row>
    <row r="11" spans="1:40">
      <c r="C11" s="214" t="s">
        <v>628</v>
      </c>
      <c r="D11" s="215">
        <v>9514.6170919999986</v>
      </c>
      <c r="E11" s="621">
        <v>9.5814471124471456</v>
      </c>
      <c r="H11" s="212"/>
      <c r="I11" s="214" t="s">
        <v>629</v>
      </c>
      <c r="J11" s="215">
        <v>21634.895929999999</v>
      </c>
      <c r="K11" s="621">
        <v>5.5028585411434738</v>
      </c>
      <c r="O11" s="823" t="s">
        <v>825</v>
      </c>
      <c r="P11" s="813">
        <v>34423.538739999996</v>
      </c>
      <c r="Q11" s="815">
        <f t="shared" si="2"/>
        <v>29.813351626939234</v>
      </c>
      <c r="R11" s="829">
        <f t="shared" ref="R11:R72" si="4">$R$8*Q11/100</f>
        <v>194654.9503744815</v>
      </c>
      <c r="S11" s="735"/>
      <c r="T11" s="789" t="str">
        <f>O46</f>
        <v>IGLESIAS, MUSEOS, TEATROS</v>
      </c>
      <c r="U11" s="786">
        <f>P46</f>
        <v>2108.4892199999999</v>
      </c>
      <c r="V11" s="787">
        <f>Q46</f>
        <v>1.8261089015937364</v>
      </c>
      <c r="W11" s="788">
        <f t="shared" si="0"/>
        <v>1.8261089015937364E-2</v>
      </c>
      <c r="X11" s="790">
        <f t="shared" si="1"/>
        <v>11922.884151573697</v>
      </c>
      <c r="Y11" s="785"/>
      <c r="Z11" s="622" t="s">
        <v>401</v>
      </c>
      <c r="AA11" s="623">
        <v>14613.124340000006</v>
      </c>
      <c r="AB11" s="624">
        <f t="shared" si="3"/>
        <v>11.222539472224041</v>
      </c>
      <c r="AC11" s="1"/>
    </row>
    <row r="12" spans="1:40">
      <c r="C12" s="214" t="s">
        <v>629</v>
      </c>
      <c r="D12" s="215">
        <v>5464.4764319999995</v>
      </c>
      <c r="E12" s="621">
        <v>5.5028585411434738</v>
      </c>
      <c r="H12" s="212"/>
      <c r="I12" s="214" t="s">
        <v>630</v>
      </c>
      <c r="J12" s="215">
        <v>5166</v>
      </c>
      <c r="K12" s="621">
        <f t="shared" ref="K12:K26" si="5">+J12/$J$71*100</f>
        <v>4.4054431778432797</v>
      </c>
      <c r="O12" s="823" t="s">
        <v>628</v>
      </c>
      <c r="P12" s="813">
        <v>13025.641720000003</v>
      </c>
      <c r="Q12" s="815">
        <f t="shared" si="2"/>
        <v>11.281177095068456</v>
      </c>
      <c r="R12" s="829">
        <f t="shared" si="4"/>
        <v>73656.158994953352</v>
      </c>
      <c r="S12" s="735"/>
      <c r="T12" s="789" t="str">
        <f>O52</f>
        <v>PARQUES</v>
      </c>
      <c r="U12" s="786">
        <f>P52</f>
        <v>7255.2708399999992</v>
      </c>
      <c r="V12" s="787">
        <f>Q52</f>
        <v>6.2836055971855833</v>
      </c>
      <c r="W12" s="788">
        <f t="shared" si="0"/>
        <v>6.2836055971855834E-2</v>
      </c>
      <c r="X12" s="790">
        <f t="shared" si="1"/>
        <v>41026.414976696338</v>
      </c>
      <c r="Y12" s="785"/>
      <c r="Z12" s="622" t="s">
        <v>628</v>
      </c>
      <c r="AA12" s="623">
        <v>13025.641720000003</v>
      </c>
      <c r="AB12" s="624">
        <f t="shared" si="3"/>
        <v>10.003389757904998</v>
      </c>
      <c r="AC12" s="1"/>
    </row>
    <row r="13" spans="1:40">
      <c r="C13" s="214" t="s">
        <v>631</v>
      </c>
      <c r="D13" s="215">
        <v>2471.8032770000004</v>
      </c>
      <c r="E13" s="621">
        <v>2.4891650543522523</v>
      </c>
      <c r="H13" s="212"/>
      <c r="I13" s="214" t="s">
        <v>632</v>
      </c>
      <c r="J13" s="215">
        <v>4635</v>
      </c>
      <c r="K13" s="621">
        <f t="shared" si="5"/>
        <v>3.9526188790754166</v>
      </c>
      <c r="O13" s="823" t="s">
        <v>629</v>
      </c>
      <c r="P13" s="813">
        <v>10641.87535</v>
      </c>
      <c r="Q13" s="815">
        <f t="shared" si="2"/>
        <v>9.2166576532394888</v>
      </c>
      <c r="R13" s="829">
        <f t="shared" si="4"/>
        <v>60176.663816919012</v>
      </c>
      <c r="S13" s="735"/>
      <c r="T13" s="789" t="str">
        <f>O57</f>
        <v>CENTROS COMERCIALES</v>
      </c>
      <c r="U13" s="786">
        <f>P57</f>
        <v>695.36444000000006</v>
      </c>
      <c r="V13" s="787">
        <f>Q57</f>
        <v>0.6022374606855917</v>
      </c>
      <c r="W13" s="788">
        <f t="shared" si="0"/>
        <v>6.0223746068559167E-3</v>
      </c>
      <c r="X13" s="790">
        <f t="shared" si="1"/>
        <v>3932.0806493115101</v>
      </c>
      <c r="Y13" s="785"/>
      <c r="Z13" s="622" t="s">
        <v>629</v>
      </c>
      <c r="AA13" s="623">
        <v>10641.87535</v>
      </c>
      <c r="AB13" s="624">
        <f t="shared" si="3"/>
        <v>8.1727126516643995</v>
      </c>
      <c r="AC13" s="1"/>
    </row>
    <row r="14" spans="1:40">
      <c r="C14" s="214" t="s">
        <v>633</v>
      </c>
      <c r="D14" s="215">
        <v>1685.981712</v>
      </c>
      <c r="E14" s="621">
        <v>1.6978239323644131</v>
      </c>
      <c r="H14" s="212"/>
      <c r="I14" s="214" t="s">
        <v>634</v>
      </c>
      <c r="J14" s="215">
        <v>4409</v>
      </c>
      <c r="K14" s="621">
        <f t="shared" si="5"/>
        <v>3.7598913997504884</v>
      </c>
      <c r="O14" s="823" t="s">
        <v>635</v>
      </c>
      <c r="P14" s="813">
        <v>6572.1323199999988</v>
      </c>
      <c r="Q14" s="815">
        <f t="shared" si="2"/>
        <v>5.6919566949476241</v>
      </c>
      <c r="R14" s="829">
        <f t="shared" si="4"/>
        <v>37163.468296116429</v>
      </c>
      <c r="S14" s="735"/>
      <c r="T14" s="789" t="str">
        <f>O66</f>
        <v>BARRIOS TRADICIONALES</v>
      </c>
      <c r="U14" s="786">
        <f>P66</f>
        <v>556.76049999999998</v>
      </c>
      <c r="V14" s="787">
        <f>Q66</f>
        <v>0.48219611248748973</v>
      </c>
      <c r="W14" s="788">
        <f t="shared" si="0"/>
        <v>4.8219611248748974E-3</v>
      </c>
      <c r="X14" s="790">
        <f t="shared" si="1"/>
        <v>3148.3162819643189</v>
      </c>
      <c r="Y14" s="785"/>
      <c r="Z14" s="622" t="s">
        <v>636</v>
      </c>
      <c r="AA14" s="623">
        <v>9593.1551599999984</v>
      </c>
      <c r="AB14" s="624">
        <f t="shared" si="3"/>
        <v>7.3673199475608975</v>
      </c>
      <c r="AC14" s="1"/>
    </row>
    <row r="15" spans="1:40" ht="23.4" thickBot="1">
      <c r="C15" s="214" t="s">
        <v>632</v>
      </c>
      <c r="D15" s="215">
        <v>1214.540039</v>
      </c>
      <c r="E15" s="621">
        <v>1.2230708852605914</v>
      </c>
      <c r="H15" s="212"/>
      <c r="I15" s="214" t="s">
        <v>633</v>
      </c>
      <c r="J15" s="215">
        <v>3001</v>
      </c>
      <c r="K15" s="621">
        <f t="shared" si="5"/>
        <v>2.5591821480270389</v>
      </c>
      <c r="O15" s="823" t="s">
        <v>637</v>
      </c>
      <c r="P15" s="813">
        <v>2121.8373700000002</v>
      </c>
      <c r="Q15" s="815">
        <f t="shared" si="2"/>
        <v>1.8376693949098033</v>
      </c>
      <c r="R15" s="829">
        <f t="shared" si="4"/>
        <v>11998.363999693494</v>
      </c>
      <c r="S15" s="735"/>
      <c r="T15" s="791" t="str">
        <f>'perfil-Alrededor_parroquia'!M12</f>
        <v>Mitad del Mundo</v>
      </c>
      <c r="U15" s="792">
        <f>'perfil-Alrededor_parroquia'!O12</f>
        <v>30000</v>
      </c>
      <c r="V15" s="793">
        <f>'perfil-Alrededor_parroquia'!N12*100</f>
        <v>86.0930066613669</v>
      </c>
      <c r="W15" s="794">
        <f t="shared" si="0"/>
        <v>0.860930066613669</v>
      </c>
      <c r="X15" s="795">
        <f t="shared" si="1"/>
        <v>562111.57165286387</v>
      </c>
      <c r="Y15" s="785"/>
      <c r="Z15" s="622" t="s">
        <v>635</v>
      </c>
      <c r="AA15" s="623">
        <v>6572.1323199999988</v>
      </c>
      <c r="AB15" s="624">
        <f t="shared" si="3"/>
        <v>5.0472447001624099</v>
      </c>
      <c r="AC15" s="1"/>
    </row>
    <row r="16" spans="1:40">
      <c r="C16" s="214" t="s">
        <v>638</v>
      </c>
      <c r="D16" s="215">
        <v>967.48773800000004</v>
      </c>
      <c r="E16" s="621">
        <v>0.97428330577616074</v>
      </c>
      <c r="H16" s="212"/>
      <c r="I16" s="214" t="s">
        <v>639</v>
      </c>
      <c r="J16" s="215">
        <v>2289</v>
      </c>
      <c r="K16" s="621">
        <f t="shared" si="5"/>
        <v>1.9520053105077948</v>
      </c>
      <c r="O16" s="823"/>
      <c r="P16" s="813">
        <v>1898.9568399999998</v>
      </c>
      <c r="Q16" s="815"/>
      <c r="R16" s="829"/>
      <c r="S16" s="735"/>
      <c r="T16" s="48"/>
      <c r="U16" s="625"/>
      <c r="Y16" s="48"/>
      <c r="Z16" s="622" t="s">
        <v>641</v>
      </c>
      <c r="AA16" s="623">
        <v>6233.3370500000001</v>
      </c>
      <c r="AB16" s="624">
        <f t="shared" si="3"/>
        <v>4.7870578159537871</v>
      </c>
      <c r="AC16" s="1"/>
    </row>
    <row r="17" spans="3:29" ht="22.8">
      <c r="C17" s="214" t="s">
        <v>642</v>
      </c>
      <c r="D17" s="215">
        <v>1118.7420910000001</v>
      </c>
      <c r="E17" s="626">
        <v>1.1266000590184375</v>
      </c>
      <c r="H17" s="212"/>
      <c r="I17" s="214" t="s">
        <v>643</v>
      </c>
      <c r="J17" s="215">
        <v>1131</v>
      </c>
      <c r="K17" s="621">
        <f t="shared" si="5"/>
        <v>0.96449017308183305</v>
      </c>
      <c r="O17" s="823" t="s">
        <v>630</v>
      </c>
      <c r="P17" s="813">
        <v>1849.7313899999999</v>
      </c>
      <c r="Q17" s="815">
        <f t="shared" si="2"/>
        <v>1.6020053243792991</v>
      </c>
      <c r="R17" s="829">
        <f t="shared" si="4"/>
        <v>10459.685003511369</v>
      </c>
      <c r="S17" s="735"/>
      <c r="T17" s="48"/>
      <c r="U17" s="625"/>
      <c r="Y17" s="48"/>
      <c r="Z17" s="622" t="s">
        <v>644</v>
      </c>
      <c r="AA17" s="623">
        <v>5831.5777600000001</v>
      </c>
      <c r="AB17" s="624">
        <f t="shared" si="3"/>
        <v>4.4785160294436954</v>
      </c>
      <c r="AC17" s="1"/>
    </row>
    <row r="18" spans="3:29">
      <c r="C18" s="214" t="s">
        <v>645</v>
      </c>
      <c r="D18" s="215">
        <v>819.64702899999997</v>
      </c>
      <c r="E18" s="621">
        <v>0.82540417373613129</v>
      </c>
      <c r="H18" s="212"/>
      <c r="I18" s="214" t="s">
        <v>646</v>
      </c>
      <c r="J18" s="215">
        <v>789</v>
      </c>
      <c r="K18" s="621">
        <f t="shared" si="5"/>
        <v>0.67284062472287032</v>
      </c>
      <c r="O18" s="823" t="s">
        <v>632</v>
      </c>
      <c r="P18" s="813">
        <v>1700.3046200000003</v>
      </c>
      <c r="Q18" s="815">
        <f t="shared" si="2"/>
        <v>1.4725905983066663</v>
      </c>
      <c r="R18" s="829">
        <f t="shared" si="4"/>
        <v>9614.7207272160213</v>
      </c>
      <c r="S18" s="735"/>
      <c r="T18" s="48"/>
      <c r="U18" s="625"/>
      <c r="Y18" s="48"/>
      <c r="Z18" s="622" t="s">
        <v>647</v>
      </c>
      <c r="AA18" s="623">
        <v>3523.3727200000003</v>
      </c>
      <c r="AB18" s="624">
        <f t="shared" si="3"/>
        <v>2.7058682664680163</v>
      </c>
      <c r="AC18" s="1"/>
    </row>
    <row r="19" spans="3:29">
      <c r="C19" s="214" t="s">
        <v>648</v>
      </c>
      <c r="D19" s="215">
        <v>284.367187</v>
      </c>
      <c r="E19" s="621">
        <v>0.28636456269446559</v>
      </c>
      <c r="H19" s="212"/>
      <c r="I19" s="214" t="s">
        <v>649</v>
      </c>
      <c r="J19" s="215">
        <v>252</v>
      </c>
      <c r="K19" s="626">
        <f t="shared" si="5"/>
        <v>0.21489966721186729</v>
      </c>
      <c r="O19" s="823" t="s">
        <v>649</v>
      </c>
      <c r="P19" s="813">
        <v>1604.0196000000001</v>
      </c>
      <c r="Q19" s="815">
        <f t="shared" si="2"/>
        <v>1.3892005906915781</v>
      </c>
      <c r="R19" s="829">
        <f t="shared" si="4"/>
        <v>9070.257360696196</v>
      </c>
      <c r="S19" s="735"/>
      <c r="T19" s="48"/>
      <c r="U19" s="625"/>
      <c r="Y19" s="48"/>
      <c r="Z19" s="622" t="s">
        <v>650</v>
      </c>
      <c r="AA19" s="623">
        <v>3209.9230800000005</v>
      </c>
      <c r="AB19" s="624">
        <f t="shared" si="3"/>
        <v>2.4651462363525578</v>
      </c>
      <c r="AC19" s="1"/>
    </row>
    <row r="20" spans="3:29" ht="22.8">
      <c r="C20" s="214" t="s">
        <v>651</v>
      </c>
      <c r="D20" s="215">
        <v>169.15391700000001</v>
      </c>
      <c r="E20" s="621">
        <v>0.1703420425569738</v>
      </c>
      <c r="H20" s="212"/>
      <c r="I20" s="214" t="s">
        <v>652</v>
      </c>
      <c r="J20" s="215">
        <v>192</v>
      </c>
      <c r="K20" s="621">
        <f t="shared" si="5"/>
        <v>0.16373307978047033</v>
      </c>
      <c r="O20" s="823" t="s">
        <v>634</v>
      </c>
      <c r="P20" s="813">
        <v>1190.7258500000003</v>
      </c>
      <c r="Q20" s="815">
        <f t="shared" si="2"/>
        <v>1.0312573824981515</v>
      </c>
      <c r="R20" s="829">
        <f t="shared" si="4"/>
        <v>6733.2032012163309</v>
      </c>
      <c r="S20" s="735"/>
      <c r="T20" s="48"/>
      <c r="U20" s="625"/>
      <c r="Y20" s="48"/>
      <c r="Z20" s="622" t="s">
        <v>637</v>
      </c>
      <c r="AA20" s="623">
        <v>2121.8373700000002</v>
      </c>
      <c r="AB20" s="624">
        <f t="shared" si="3"/>
        <v>1.6295217288532999</v>
      </c>
      <c r="AC20" s="1"/>
    </row>
    <row r="21" spans="3:29">
      <c r="C21" s="214" t="s">
        <v>630</v>
      </c>
      <c r="D21" s="215">
        <v>69.149977000000007</v>
      </c>
      <c r="E21" s="621">
        <v>6.9635681714351083E-2</v>
      </c>
      <c r="H21" s="212"/>
      <c r="I21" s="214" t="s">
        <v>57</v>
      </c>
      <c r="J21" s="215">
        <v>176</v>
      </c>
      <c r="K21" s="621">
        <f t="shared" si="5"/>
        <v>0.15008865646543115</v>
      </c>
      <c r="O21" s="823" t="s">
        <v>646</v>
      </c>
      <c r="P21" s="813">
        <v>930.99568000000011</v>
      </c>
      <c r="Q21" s="815">
        <f t="shared" si="2"/>
        <v>0.80631168633307704</v>
      </c>
      <c r="R21" s="829">
        <f t="shared" si="4"/>
        <v>5264.5057574710199</v>
      </c>
      <c r="S21" s="735"/>
      <c r="T21" s="48"/>
      <c r="U21" s="625"/>
      <c r="Y21" s="48"/>
      <c r="Z21" s="622" t="s">
        <v>640</v>
      </c>
      <c r="AA21" s="623">
        <v>1898.9568399999998</v>
      </c>
      <c r="AB21" s="624">
        <f t="shared" si="3"/>
        <v>1.4583546678389396</v>
      </c>
      <c r="AC21" s="1"/>
    </row>
    <row r="22" spans="3:29">
      <c r="C22" s="214" t="s">
        <v>653</v>
      </c>
      <c r="D22" s="215">
        <v>18.447514000000002</v>
      </c>
      <c r="E22" s="621">
        <v>1.8577088078063072E-2</v>
      </c>
      <c r="H22" s="212"/>
      <c r="I22" s="214" t="s">
        <v>653</v>
      </c>
      <c r="J22" s="215">
        <v>151</v>
      </c>
      <c r="K22" s="621">
        <f t="shared" si="5"/>
        <v>0.12876924503568238</v>
      </c>
      <c r="O22" s="823" t="s">
        <v>654</v>
      </c>
      <c r="P22" s="813">
        <v>757.17714000000001</v>
      </c>
      <c r="Q22" s="815">
        <f t="shared" si="2"/>
        <v>0.65577186846479918</v>
      </c>
      <c r="R22" s="829">
        <f t="shared" si="4"/>
        <v>4281.6132218308894</v>
      </c>
      <c r="S22" s="735"/>
      <c r="T22" s="48"/>
      <c r="U22" s="625"/>
      <c r="Y22" s="48"/>
      <c r="Z22" s="622" t="s">
        <v>630</v>
      </c>
      <c r="AA22" s="623">
        <v>1849.7313899999999</v>
      </c>
      <c r="AB22" s="624">
        <f t="shared" si="3"/>
        <v>1.4205506676258688</v>
      </c>
      <c r="AC22" s="1"/>
    </row>
    <row r="23" spans="3:29">
      <c r="C23" s="214"/>
      <c r="D23" s="215"/>
      <c r="E23" s="621"/>
      <c r="H23" s="212"/>
      <c r="I23" s="214" t="s">
        <v>655</v>
      </c>
      <c r="J23" s="215">
        <v>144</v>
      </c>
      <c r="K23" s="621">
        <f t="shared" si="5"/>
        <v>0.12279980983535274</v>
      </c>
      <c r="O23" s="823" t="s">
        <v>57</v>
      </c>
      <c r="P23" s="813">
        <v>269.55577999999997</v>
      </c>
      <c r="Q23" s="815">
        <f t="shared" si="2"/>
        <v>0.23345540715358407</v>
      </c>
      <c r="R23" s="829">
        <f t="shared" si="4"/>
        <v>1524.2583679546087</v>
      </c>
      <c r="S23" s="735"/>
      <c r="T23" s="48"/>
      <c r="U23" s="625"/>
      <c r="Y23" s="48"/>
      <c r="Z23" s="622" t="s">
        <v>632</v>
      </c>
      <c r="AA23" s="623">
        <v>1700.3046200000003</v>
      </c>
      <c r="AB23" s="624">
        <f t="shared" si="3"/>
        <v>1.3057943851557547</v>
      </c>
      <c r="AC23" s="1"/>
    </row>
    <row r="24" spans="3:29">
      <c r="C24" s="213" t="s">
        <v>656</v>
      </c>
      <c r="D24" s="619">
        <v>9330.2738979999995</v>
      </c>
      <c r="E24" s="620">
        <v>9.3958091044462044</v>
      </c>
      <c r="H24" s="212"/>
      <c r="I24" s="214" t="s">
        <v>657</v>
      </c>
      <c r="J24" s="215">
        <v>47</v>
      </c>
      <c r="K24" s="621">
        <f t="shared" si="5"/>
        <v>4.0080493487927631E-2</v>
      </c>
      <c r="O24" s="823" t="s">
        <v>657</v>
      </c>
      <c r="P24" s="813">
        <v>256.52908000000002</v>
      </c>
      <c r="Q24" s="815">
        <f t="shared" si="2"/>
        <v>0.22217331350911618</v>
      </c>
      <c r="R24" s="829">
        <f t="shared" si="4"/>
        <v>1450.5962246986405</v>
      </c>
      <c r="S24" s="735"/>
      <c r="T24" s="48"/>
      <c r="U24" s="625"/>
      <c r="Y24" s="48"/>
      <c r="Z24" s="622" t="s">
        <v>658</v>
      </c>
      <c r="AA24" s="623">
        <v>1649.0301499999998</v>
      </c>
      <c r="AB24" s="624">
        <f t="shared" si="3"/>
        <v>1.2664167852596619</v>
      </c>
      <c r="AC24" s="1"/>
    </row>
    <row r="25" spans="3:29">
      <c r="C25" s="214" t="s">
        <v>647</v>
      </c>
      <c r="D25" s="215">
        <v>2506.5502699999997</v>
      </c>
      <c r="E25" s="621">
        <v>2.5241561078572845</v>
      </c>
      <c r="H25" s="212"/>
      <c r="I25" s="214" t="s">
        <v>659</v>
      </c>
      <c r="J25" s="215">
        <v>43</v>
      </c>
      <c r="K25" s="621">
        <f t="shared" si="5"/>
        <v>3.6669387659167836E-2</v>
      </c>
      <c r="O25" s="823" t="s">
        <v>653</v>
      </c>
      <c r="P25" s="813">
        <v>216.18635</v>
      </c>
      <c r="Q25" s="815">
        <f t="shared" si="2"/>
        <v>0.18723350083718193</v>
      </c>
      <c r="R25" s="829">
        <f t="shared" si="4"/>
        <v>1222.4699949860615</v>
      </c>
      <c r="S25" s="735"/>
      <c r="T25" s="48"/>
      <c r="U25" s="625"/>
      <c r="Y25" s="48"/>
      <c r="Z25" s="622" t="s">
        <v>649</v>
      </c>
      <c r="AA25" s="623">
        <v>1604.0196000000001</v>
      </c>
      <c r="AB25" s="624">
        <f t="shared" si="3"/>
        <v>1.2318497301735141</v>
      </c>
      <c r="AC25" s="1"/>
    </row>
    <row r="26" spans="3:29">
      <c r="C26" s="214" t="s">
        <v>660</v>
      </c>
      <c r="D26" s="215">
        <v>5482.0315639999999</v>
      </c>
      <c r="E26" s="621">
        <v>5.5205369791913341</v>
      </c>
      <c r="H26" s="212"/>
      <c r="I26" s="214" t="s">
        <v>661</v>
      </c>
      <c r="J26" s="215">
        <v>43</v>
      </c>
      <c r="K26" s="621">
        <f t="shared" si="5"/>
        <v>3.6669387659167836E-2</v>
      </c>
      <c r="O26" s="823" t="s">
        <v>655</v>
      </c>
      <c r="P26" s="813">
        <v>183.24587999999997</v>
      </c>
      <c r="Q26" s="815">
        <f t="shared" si="2"/>
        <v>0.15870459733646522</v>
      </c>
      <c r="R26" s="829">
        <f t="shared" si="4"/>
        <v>1036.2013605614618</v>
      </c>
      <c r="S26" s="735"/>
      <c r="T26" s="48"/>
      <c r="U26" s="625"/>
      <c r="Y26" s="48"/>
      <c r="Z26" s="622" t="s">
        <v>662</v>
      </c>
      <c r="AA26" s="623">
        <v>1443.1290200000003</v>
      </c>
      <c r="AB26" s="624">
        <f t="shared" si="3"/>
        <v>1.108289508365464</v>
      </c>
      <c r="AC26" s="1"/>
    </row>
    <row r="27" spans="3:29">
      <c r="C27" s="214" t="s">
        <v>650</v>
      </c>
      <c r="D27" s="215">
        <v>1341.6920639999998</v>
      </c>
      <c r="E27" s="621">
        <v>1.3511160173975869</v>
      </c>
      <c r="H27" s="212"/>
      <c r="I27" s="214"/>
      <c r="J27" s="215"/>
      <c r="K27" s="621"/>
      <c r="O27" s="823" t="s">
        <v>663</v>
      </c>
      <c r="P27" s="813">
        <v>152.77027000000001</v>
      </c>
      <c r="Q27" s="815">
        <f t="shared" si="2"/>
        <v>0.13231044640857997</v>
      </c>
      <c r="R27" s="829">
        <f t="shared" si="4"/>
        <v>863.87078185518772</v>
      </c>
      <c r="S27" s="735"/>
      <c r="T27" s="48"/>
      <c r="U27" s="625"/>
      <c r="Y27" s="48"/>
      <c r="Z27" s="622" t="s">
        <v>664</v>
      </c>
      <c r="AA27" s="623">
        <v>1251.3598500000001</v>
      </c>
      <c r="AB27" s="624">
        <f t="shared" si="3"/>
        <v>0.96101524792619064</v>
      </c>
      <c r="AC27" s="1"/>
    </row>
    <row r="28" spans="3:29">
      <c r="C28" s="214"/>
      <c r="D28" s="215"/>
      <c r="E28" s="621"/>
      <c r="H28" s="212"/>
      <c r="I28" s="213" t="s">
        <v>656</v>
      </c>
      <c r="J28" s="627">
        <v>11932</v>
      </c>
      <c r="K28" s="620">
        <f>+J28/$J$71*100</f>
        <v>10.175328687190479</v>
      </c>
      <c r="O28" s="823" t="s">
        <v>659</v>
      </c>
      <c r="P28" s="813">
        <v>56.117179999999998</v>
      </c>
      <c r="Q28" s="815">
        <f t="shared" si="2"/>
        <v>4.8601662725284413E-2</v>
      </c>
      <c r="R28" s="829">
        <f t="shared" si="4"/>
        <v>317.32608813290898</v>
      </c>
      <c r="S28" s="735"/>
      <c r="T28" s="48"/>
      <c r="U28" s="625"/>
      <c r="Y28" s="48"/>
      <c r="Z28" s="622" t="s">
        <v>665</v>
      </c>
      <c r="AA28" s="623">
        <v>1206.0557599999997</v>
      </c>
      <c r="AB28" s="624">
        <f t="shared" si="3"/>
        <v>0.92622276095018552</v>
      </c>
      <c r="AC28" s="1"/>
    </row>
    <row r="29" spans="3:29">
      <c r="C29" s="213" t="s">
        <v>666</v>
      </c>
      <c r="D29" s="619">
        <v>12627.463661999996</v>
      </c>
      <c r="E29" s="620">
        <v>12.716158104095477</v>
      </c>
      <c r="H29" s="212"/>
      <c r="I29" s="214" t="s">
        <v>641</v>
      </c>
      <c r="J29" s="215">
        <v>8232</v>
      </c>
      <c r="K29" s="621">
        <f>+J29/$J$71*100</f>
        <v>7.0200557955876652</v>
      </c>
      <c r="L29" s="1"/>
      <c r="O29" s="823"/>
      <c r="P29" s="813"/>
      <c r="Q29" s="814"/>
      <c r="R29" s="829">
        <f t="shared" si="4"/>
        <v>0</v>
      </c>
      <c r="S29" s="735"/>
      <c r="T29" s="48"/>
      <c r="U29" s="48"/>
      <c r="Y29" s="48"/>
      <c r="Z29" s="622" t="s">
        <v>634</v>
      </c>
      <c r="AA29" s="623">
        <v>1190.7258500000003</v>
      </c>
      <c r="AB29" s="624">
        <f t="shared" si="3"/>
        <v>0.91444974676938384</v>
      </c>
      <c r="AC29" s="1"/>
    </row>
    <row r="30" spans="3:29">
      <c r="C30" s="214" t="s">
        <v>636</v>
      </c>
      <c r="D30" s="215">
        <v>10157.792446999996</v>
      </c>
      <c r="E30" s="621">
        <v>10.229140087201058</v>
      </c>
      <c r="H30" s="212"/>
      <c r="I30" s="214" t="s">
        <v>647</v>
      </c>
      <c r="J30" s="215">
        <v>3222</v>
      </c>
      <c r="K30" s="621">
        <f>+J30/$J$71*100</f>
        <v>2.7476457450660177</v>
      </c>
      <c r="O30" s="823"/>
      <c r="P30" s="813"/>
      <c r="Q30" s="814"/>
      <c r="R30" s="829">
        <f t="shared" si="4"/>
        <v>0</v>
      </c>
      <c r="S30" s="735"/>
      <c r="T30" s="625"/>
      <c r="U30" s="48"/>
      <c r="Y30" s="48"/>
      <c r="Z30" s="622" t="s">
        <v>667</v>
      </c>
      <c r="AA30" s="623">
        <v>1101.4341299999999</v>
      </c>
      <c r="AB30" s="624">
        <f t="shared" si="3"/>
        <v>0.84587578346573755</v>
      </c>
      <c r="AC30" s="1"/>
    </row>
    <row r="31" spans="3:29">
      <c r="C31" s="214" t="s">
        <v>668</v>
      </c>
      <c r="D31" s="215">
        <v>1306.8444010000001</v>
      </c>
      <c r="E31" s="621">
        <v>1.3160235867933519</v>
      </c>
      <c r="H31" s="212"/>
      <c r="I31" s="214" t="s">
        <v>650</v>
      </c>
      <c r="J31" s="215">
        <v>316</v>
      </c>
      <c r="K31" s="621">
        <f>+J31/$J$71*100</f>
        <v>0.26947736047202409</v>
      </c>
      <c r="O31" s="823"/>
      <c r="P31" s="813"/>
      <c r="Q31" s="814"/>
      <c r="R31" s="829">
        <f t="shared" si="4"/>
        <v>0</v>
      </c>
      <c r="S31" s="735"/>
      <c r="T31" s="48"/>
      <c r="U31" s="625"/>
      <c r="Y31" s="48"/>
      <c r="Z31" s="622" t="s">
        <v>646</v>
      </c>
      <c r="AA31" s="623">
        <v>930.99568000000011</v>
      </c>
      <c r="AB31" s="624">
        <f t="shared" si="3"/>
        <v>0.714983019659303</v>
      </c>
      <c r="AC31" s="1"/>
    </row>
    <row r="32" spans="3:29">
      <c r="C32" s="214" t="s">
        <v>669</v>
      </c>
      <c r="D32" s="215">
        <v>240.88082400000002</v>
      </c>
      <c r="E32" s="621">
        <v>0.24257275445159759</v>
      </c>
      <c r="H32" s="212"/>
      <c r="I32" s="214" t="s">
        <v>395</v>
      </c>
      <c r="J32" s="215">
        <v>161</v>
      </c>
      <c r="K32" s="621">
        <f>+J32/$J$71*100</f>
        <v>0.1372970096075819</v>
      </c>
      <c r="O32" s="824" t="s">
        <v>656</v>
      </c>
      <c r="P32" s="816">
        <f>SUM(P33:P37)</f>
        <v>13408.424510000001</v>
      </c>
      <c r="Q32" s="817">
        <f>+P32/$P$8*100</f>
        <v>11.61269553659783</v>
      </c>
      <c r="R32" s="830">
        <f t="shared" si="4"/>
        <v>75820.682681911625</v>
      </c>
      <c r="S32" s="808"/>
      <c r="T32" s="48"/>
      <c r="U32" s="625"/>
      <c r="Y32" s="48"/>
      <c r="Z32" s="622" t="s">
        <v>654</v>
      </c>
      <c r="AA32" s="623">
        <v>757.17714000000001</v>
      </c>
      <c r="AB32" s="624">
        <f t="shared" si="3"/>
        <v>0.58149442538143115</v>
      </c>
      <c r="AC32" s="1"/>
    </row>
    <row r="33" spans="3:29">
      <c r="C33" s="214" t="s">
        <v>670</v>
      </c>
      <c r="D33" s="215">
        <v>812.59147400000006</v>
      </c>
      <c r="E33" s="621">
        <v>0.81829906099982352</v>
      </c>
      <c r="H33" s="212"/>
      <c r="I33" s="214"/>
      <c r="J33" s="215"/>
      <c r="K33" s="621"/>
      <c r="O33" s="823" t="s">
        <v>641</v>
      </c>
      <c r="P33" s="813">
        <v>6233.3370500000001</v>
      </c>
      <c r="Q33" s="815">
        <f>+P33/$P$8*100</f>
        <v>5.3985347260343319</v>
      </c>
      <c r="R33" s="829">
        <f t="shared" si="4"/>
        <v>35247.681050445281</v>
      </c>
      <c r="S33" s="735"/>
      <c r="T33" s="48"/>
      <c r="U33" s="625"/>
      <c r="Y33" s="48"/>
      <c r="Z33" s="622" t="s">
        <v>671</v>
      </c>
      <c r="AA33" s="623">
        <v>313.92570000000001</v>
      </c>
      <c r="AB33" s="624">
        <f t="shared" si="3"/>
        <v>0.24108763311840548</v>
      </c>
      <c r="AC33" s="1"/>
    </row>
    <row r="34" spans="3:29">
      <c r="C34" s="214" t="s">
        <v>667</v>
      </c>
      <c r="D34" s="215">
        <v>43.325581</v>
      </c>
      <c r="E34" s="621">
        <v>4.3629896921084106E-2</v>
      </c>
      <c r="H34" s="212"/>
      <c r="I34" s="213" t="s">
        <v>666</v>
      </c>
      <c r="J34" s="627">
        <v>12317</v>
      </c>
      <c r="K34" s="620">
        <f t="shared" ref="K34:K39" si="6">+J34/$J$71*100</f>
        <v>10.503647623208611</v>
      </c>
      <c r="O34" s="823" t="s">
        <v>824</v>
      </c>
      <c r="P34" s="813">
        <v>3523.3727200000003</v>
      </c>
      <c r="Q34" s="815">
        <f>+P34/$P$8*100</f>
        <v>3.0515035251754981</v>
      </c>
      <c r="R34" s="829">
        <f t="shared" si="4"/>
        <v>19923.632696293847</v>
      </c>
      <c r="S34" s="735"/>
      <c r="T34" s="48"/>
      <c r="U34" s="625"/>
      <c r="Y34" s="48"/>
      <c r="Z34" s="622" t="s">
        <v>57</v>
      </c>
      <c r="AA34" s="623">
        <v>269.55577999999997</v>
      </c>
      <c r="AB34" s="624">
        <f t="shared" si="3"/>
        <v>0.20701256696595921</v>
      </c>
      <c r="AC34" s="1"/>
    </row>
    <row r="35" spans="3:29">
      <c r="C35" s="214" t="s">
        <v>662</v>
      </c>
      <c r="D35" s="215">
        <v>66.028935000000004</v>
      </c>
      <c r="E35" s="621">
        <v>6.6492717728562314E-2</v>
      </c>
      <c r="H35" s="212"/>
      <c r="I35" s="214" t="s">
        <v>636</v>
      </c>
      <c r="J35" s="215">
        <v>6628</v>
      </c>
      <c r="K35" s="621">
        <f t="shared" si="6"/>
        <v>5.6522023582549856</v>
      </c>
      <c r="L35" s="1"/>
      <c r="O35" s="823" t="s">
        <v>650</v>
      </c>
      <c r="P35" s="813">
        <v>3209.9230800000005</v>
      </c>
      <c r="Q35" s="815">
        <f>+P35/$P$8*100</f>
        <v>2.7800327619503715</v>
      </c>
      <c r="R35" s="829">
        <f t="shared" si="4"/>
        <v>18151.167506705409</v>
      </c>
      <c r="S35" s="735"/>
      <c r="T35" s="48"/>
      <c r="U35" s="625"/>
      <c r="Y35" s="48"/>
      <c r="Z35" s="622" t="s">
        <v>657</v>
      </c>
      <c r="AA35" s="623">
        <v>256.52908000000002</v>
      </c>
      <c r="AB35" s="624">
        <f t="shared" si="3"/>
        <v>0.19700836447363851</v>
      </c>
      <c r="AC35" s="628"/>
    </row>
    <row r="36" spans="3:29">
      <c r="C36" s="214"/>
      <c r="D36" s="215"/>
      <c r="E36" s="621"/>
      <c r="H36" s="212"/>
      <c r="I36" s="214" t="s">
        <v>628</v>
      </c>
      <c r="J36" s="215">
        <v>4829</v>
      </c>
      <c r="K36" s="621">
        <f t="shared" si="6"/>
        <v>4.1180575117702674</v>
      </c>
      <c r="O36" s="823" t="s">
        <v>671</v>
      </c>
      <c r="P36" s="813">
        <v>313.92570000000001</v>
      </c>
      <c r="Q36" s="815">
        <f>+P36/$P$8*100</f>
        <v>0.27188306668650875</v>
      </c>
      <c r="R36" s="829">
        <f t="shared" si="4"/>
        <v>1775.157168364218</v>
      </c>
      <c r="S36" s="735"/>
      <c r="T36" s="48"/>
      <c r="U36" s="48"/>
      <c r="Y36" s="48"/>
      <c r="Z36" s="622" t="s">
        <v>672</v>
      </c>
      <c r="AA36" s="623">
        <v>236.63215</v>
      </c>
      <c r="AB36" s="624">
        <f t="shared" si="3"/>
        <v>0.1817279851991076</v>
      </c>
      <c r="AC36" s="628"/>
    </row>
    <row r="37" spans="3:29">
      <c r="C37" s="213" t="s">
        <v>673</v>
      </c>
      <c r="D37" s="619">
        <v>7720.9690289999999</v>
      </c>
      <c r="E37" s="620">
        <v>7.7752005879887172</v>
      </c>
      <c r="H37" s="212"/>
      <c r="I37" s="214" t="s">
        <v>664</v>
      </c>
      <c r="J37" s="215">
        <v>344</v>
      </c>
      <c r="K37" s="621">
        <f t="shared" si="6"/>
        <v>0.29335510127334269</v>
      </c>
      <c r="O37" s="823"/>
      <c r="P37" s="813">
        <v>127.86596</v>
      </c>
      <c r="Q37" s="815"/>
      <c r="R37" s="829"/>
      <c r="S37" s="735"/>
      <c r="T37" s="48"/>
      <c r="U37" s="48"/>
      <c r="Y37" s="48"/>
      <c r="Z37" s="622" t="s">
        <v>675</v>
      </c>
      <c r="AA37" s="623">
        <v>232.78628</v>
      </c>
      <c r="AB37" s="624">
        <f t="shared" si="3"/>
        <v>0.17877444652552632</v>
      </c>
      <c r="AC37" s="628"/>
    </row>
    <row r="38" spans="3:29">
      <c r="C38" s="214" t="s">
        <v>676</v>
      </c>
      <c r="D38" s="215">
        <v>4370.0814010000004</v>
      </c>
      <c r="E38" s="621">
        <v>4.4007765542111672</v>
      </c>
      <c r="H38" s="212"/>
      <c r="I38" s="214" t="s">
        <v>662</v>
      </c>
      <c r="J38" s="215">
        <v>227</v>
      </c>
      <c r="K38" s="621">
        <f t="shared" si="6"/>
        <v>0.19358025578211857</v>
      </c>
      <c r="O38" s="823"/>
      <c r="P38" s="813"/>
      <c r="Q38" s="814"/>
      <c r="R38" s="829"/>
      <c r="S38" s="735"/>
      <c r="T38" s="48"/>
      <c r="U38" s="625"/>
      <c r="Y38" s="48"/>
      <c r="Z38" s="622" t="s">
        <v>677</v>
      </c>
      <c r="AA38" s="623">
        <v>217.63732000000002</v>
      </c>
      <c r="AB38" s="624">
        <f t="shared" si="3"/>
        <v>0.16714039773434611</v>
      </c>
      <c r="AC38" s="628"/>
    </row>
    <row r="39" spans="3:29">
      <c r="C39" s="214" t="s">
        <v>678</v>
      </c>
      <c r="D39" s="215">
        <v>2093.2561380000002</v>
      </c>
      <c r="E39" s="621">
        <v>2.1079590261090004</v>
      </c>
      <c r="H39" s="212"/>
      <c r="I39" s="214" t="s">
        <v>125</v>
      </c>
      <c r="J39" s="215">
        <v>289</v>
      </c>
      <c r="K39" s="621">
        <f t="shared" si="6"/>
        <v>0.24645239612789546</v>
      </c>
      <c r="O39" s="824" t="s">
        <v>666</v>
      </c>
      <c r="P39" s="811">
        <f>SUM(P40:P44)</f>
        <v>13587.847599999999</v>
      </c>
      <c r="Q39" s="812">
        <f t="shared" ref="Q39:Q44" si="7">+P39/$P$8*100</f>
        <v>11.768089312716091</v>
      </c>
      <c r="R39" s="828">
        <f t="shared" si="4"/>
        <v>76835.267293440891</v>
      </c>
      <c r="S39" s="734"/>
      <c r="T39" s="48"/>
      <c r="U39" s="625"/>
      <c r="Y39" s="48"/>
      <c r="Z39" s="622" t="s">
        <v>653</v>
      </c>
      <c r="AA39" s="623">
        <v>216.18635</v>
      </c>
      <c r="AB39" s="624">
        <f t="shared" si="3"/>
        <v>0.16602608653578602</v>
      </c>
      <c r="AC39" s="628"/>
    </row>
    <row r="40" spans="3:29">
      <c r="C40" s="214" t="s">
        <v>679</v>
      </c>
      <c r="D40" s="215">
        <v>535.708485</v>
      </c>
      <c r="E40" s="621">
        <v>0.53947126480081431</v>
      </c>
      <c r="H40" s="212"/>
      <c r="I40" s="214"/>
      <c r="J40" s="215"/>
      <c r="K40" s="621"/>
      <c r="O40" s="823" t="s">
        <v>636</v>
      </c>
      <c r="P40" s="813">
        <v>9593.1551599999984</v>
      </c>
      <c r="Q40" s="815">
        <f t="shared" si="7"/>
        <v>8.3083877621370448</v>
      </c>
      <c r="R40" s="829">
        <f t="shared" si="4"/>
        <v>54246.460705524216</v>
      </c>
      <c r="S40" s="735"/>
      <c r="T40" s="48"/>
      <c r="U40" s="625"/>
      <c r="Y40" s="48"/>
      <c r="Z40" s="622" t="s">
        <v>661</v>
      </c>
      <c r="AA40" s="623">
        <v>198.76944</v>
      </c>
      <c r="AB40" s="624">
        <f t="shared" si="3"/>
        <v>0.15265030491568837</v>
      </c>
      <c r="AC40" s="1"/>
    </row>
    <row r="41" spans="3:29">
      <c r="C41" s="214" t="s">
        <v>680</v>
      </c>
      <c r="D41" s="215">
        <v>377.79542900000001</v>
      </c>
      <c r="E41" s="621">
        <v>0.38044903828356619</v>
      </c>
      <c r="H41" s="212"/>
      <c r="I41" s="213" t="s">
        <v>673</v>
      </c>
      <c r="J41" s="627">
        <f>+J42+J43+J44+J45+J46</f>
        <v>4147</v>
      </c>
      <c r="K41" s="620">
        <f t="shared" ref="K41:K46" si="8">+J41/$J$71*100</f>
        <v>3.5364639679667214</v>
      </c>
      <c r="O41" s="823" t="s">
        <v>662</v>
      </c>
      <c r="P41" s="813">
        <v>1443.1290200000003</v>
      </c>
      <c r="Q41" s="815">
        <f t="shared" si="7"/>
        <v>1.2498573502643975</v>
      </c>
      <c r="R41" s="829">
        <f t="shared" si="4"/>
        <v>8160.4686227582824</v>
      </c>
      <c r="S41" s="735"/>
      <c r="T41" s="48"/>
      <c r="U41" s="625"/>
      <c r="Y41" s="48"/>
      <c r="Z41" s="622" t="s">
        <v>655</v>
      </c>
      <c r="AA41" s="623">
        <v>183.24587999999997</v>
      </c>
      <c r="AB41" s="624">
        <f t="shared" si="3"/>
        <v>0.14072857204077063</v>
      </c>
      <c r="AC41" s="1"/>
    </row>
    <row r="42" spans="3:29">
      <c r="C42" s="214" t="s">
        <v>681</v>
      </c>
      <c r="D42" s="215">
        <v>207.87492700000001</v>
      </c>
      <c r="E42" s="621">
        <v>0.2093350262859229</v>
      </c>
      <c r="H42" s="212"/>
      <c r="I42" s="214" t="s">
        <v>682</v>
      </c>
      <c r="J42" s="215">
        <v>2032</v>
      </c>
      <c r="K42" s="621">
        <f t="shared" si="8"/>
        <v>1.7328417610099778</v>
      </c>
      <c r="O42" s="823" t="s">
        <v>664</v>
      </c>
      <c r="P42" s="813">
        <v>1251.3598500000001</v>
      </c>
      <c r="Q42" s="815">
        <f t="shared" si="7"/>
        <v>1.0837709481777682</v>
      </c>
      <c r="R42" s="829">
        <f t="shared" si="4"/>
        <v>7076.0705731664293</v>
      </c>
      <c r="S42" s="735"/>
      <c r="T42" s="48"/>
      <c r="U42" s="625"/>
      <c r="Y42" s="48"/>
      <c r="Z42" s="622" t="s">
        <v>678</v>
      </c>
      <c r="AA42" s="623">
        <v>170.69937999999999</v>
      </c>
      <c r="AB42" s="624">
        <f t="shared" si="3"/>
        <v>0.13109315197506696</v>
      </c>
      <c r="AC42" s="1"/>
    </row>
    <row r="43" spans="3:29">
      <c r="C43" s="214" t="s">
        <v>683</v>
      </c>
      <c r="D43" s="215">
        <v>136.25264900000002</v>
      </c>
      <c r="E43" s="621">
        <v>0.13720967829824726</v>
      </c>
      <c r="H43" s="212"/>
      <c r="I43" s="214" t="s">
        <v>684</v>
      </c>
      <c r="J43" s="215">
        <v>1481</v>
      </c>
      <c r="K43" s="621">
        <f t="shared" si="8"/>
        <v>1.2629619330983155</v>
      </c>
      <c r="O43" s="823" t="s">
        <v>667</v>
      </c>
      <c r="P43" s="813">
        <v>1101.4341299999999</v>
      </c>
      <c r="Q43" s="815">
        <f t="shared" si="7"/>
        <v>0.95392409419676927</v>
      </c>
      <c r="R43" s="829">
        <f t="shared" si="4"/>
        <v>6228.2848819020101</v>
      </c>
      <c r="S43" s="735"/>
      <c r="T43" s="48"/>
      <c r="U43" s="48"/>
      <c r="Y43" s="48"/>
      <c r="Z43" s="622" t="s">
        <v>651</v>
      </c>
      <c r="AA43" s="623">
        <v>169.88849999999999</v>
      </c>
      <c r="AB43" s="624">
        <f t="shared" si="3"/>
        <v>0.13047041500277368</v>
      </c>
      <c r="AC43" s="1"/>
    </row>
    <row r="44" spans="3:29">
      <c r="C44" s="214"/>
      <c r="D44" s="215"/>
      <c r="E44" s="621"/>
      <c r="H44" s="212"/>
      <c r="I44" s="214" t="s">
        <v>685</v>
      </c>
      <c r="J44" s="215">
        <v>390</v>
      </c>
      <c r="K44" s="621">
        <f t="shared" si="8"/>
        <v>0.33258281830408037</v>
      </c>
      <c r="O44" s="823" t="s">
        <v>661</v>
      </c>
      <c r="P44" s="813">
        <v>198.76944</v>
      </c>
      <c r="Q44" s="815">
        <f t="shared" si="7"/>
        <v>0.17214915794011135</v>
      </c>
      <c r="R44" s="829">
        <f t="shared" si="4"/>
        <v>1123.9825100899398</v>
      </c>
      <c r="S44" s="735"/>
      <c r="T44" s="48"/>
      <c r="U44" s="48"/>
      <c r="Y44" s="48"/>
      <c r="Z44" s="622" t="s">
        <v>587</v>
      </c>
      <c r="AA44" s="623">
        <v>160.37643</v>
      </c>
      <c r="AB44" s="624">
        <f t="shared" si="3"/>
        <v>0.12316536657138819</v>
      </c>
      <c r="AC44" s="1"/>
    </row>
    <row r="45" spans="3:29">
      <c r="C45" s="213" t="s">
        <v>686</v>
      </c>
      <c r="D45" s="619">
        <v>6903.7622889999993</v>
      </c>
      <c r="E45" s="620">
        <v>6.9522538436758081</v>
      </c>
      <c r="H45" s="212"/>
      <c r="I45" s="214" t="s">
        <v>681</v>
      </c>
      <c r="J45" s="215">
        <v>157</v>
      </c>
      <c r="K45" s="621">
        <f t="shared" si="8"/>
        <v>0.13388590377882209</v>
      </c>
      <c r="O45" s="823"/>
      <c r="P45" s="813"/>
      <c r="Q45" s="815"/>
      <c r="R45" s="829">
        <f t="shared" si="4"/>
        <v>0</v>
      </c>
      <c r="S45" s="735"/>
      <c r="T45" s="48"/>
      <c r="U45" s="48"/>
      <c r="Y45" s="48"/>
      <c r="Z45" s="622" t="s">
        <v>663</v>
      </c>
      <c r="AA45" s="623">
        <v>152.77027000000001</v>
      </c>
      <c r="AB45" s="624">
        <f t="shared" si="3"/>
        <v>0.11732401267293424</v>
      </c>
      <c r="AC45" s="1"/>
    </row>
    <row r="46" spans="3:29">
      <c r="C46" s="214" t="s">
        <v>687</v>
      </c>
      <c r="D46" s="215">
        <v>2945.768176</v>
      </c>
      <c r="E46" s="621">
        <v>2.9664590504231194</v>
      </c>
      <c r="H46" s="212"/>
      <c r="I46" s="214" t="s">
        <v>688</v>
      </c>
      <c r="J46" s="215">
        <v>87</v>
      </c>
      <c r="K46" s="621">
        <f t="shared" si="8"/>
        <v>7.4191551775525624E-2</v>
      </c>
      <c r="O46" s="824" t="s">
        <v>673</v>
      </c>
      <c r="P46" s="811">
        <f>SUM(P47:P50)</f>
        <v>2108.4892199999999</v>
      </c>
      <c r="Q46" s="812">
        <f>+P46/$P$8*100</f>
        <v>1.8261089015937364</v>
      </c>
      <c r="R46" s="828">
        <f t="shared" si="4"/>
        <v>11922.884151573695</v>
      </c>
      <c r="S46" s="734"/>
      <c r="T46" s="48"/>
      <c r="U46" s="48"/>
      <c r="Y46" s="48"/>
      <c r="Z46" s="622" t="s">
        <v>689</v>
      </c>
      <c r="AA46" s="623">
        <v>135.65577999999999</v>
      </c>
      <c r="AB46" s="624">
        <f t="shared" si="3"/>
        <v>0.10418048257607175</v>
      </c>
      <c r="AC46" s="1"/>
    </row>
    <row r="47" spans="3:29">
      <c r="C47" s="214" t="s">
        <v>644</v>
      </c>
      <c r="D47" s="215">
        <v>2961.4981559999997</v>
      </c>
      <c r="E47" s="621">
        <v>2.9822995167280189</v>
      </c>
      <c r="H47" s="212"/>
      <c r="I47" s="214"/>
      <c r="J47" s="215"/>
      <c r="K47" s="621"/>
      <c r="O47" s="823" t="s">
        <v>658</v>
      </c>
      <c r="P47" s="818">
        <v>1649.0301499999998</v>
      </c>
      <c r="Q47" s="815">
        <f>+P47/$P$8*100</f>
        <v>1.4281830835784186</v>
      </c>
      <c r="R47" s="829">
        <f t="shared" si="4"/>
        <v>9324.7787346535242</v>
      </c>
      <c r="S47" s="735"/>
      <c r="T47" s="48"/>
      <c r="U47" s="48"/>
      <c r="Y47" s="48"/>
      <c r="Z47" s="622" t="s">
        <v>674</v>
      </c>
      <c r="AA47" s="623">
        <v>127.86596</v>
      </c>
      <c r="AB47" s="624">
        <f t="shared" si="3"/>
        <v>9.8198082071052836E-2</v>
      </c>
      <c r="AC47" s="1"/>
    </row>
    <row r="48" spans="3:29">
      <c r="C48" s="214" t="s">
        <v>665</v>
      </c>
      <c r="D48" s="215">
        <v>697.61716300000001</v>
      </c>
      <c r="E48" s="621">
        <v>0.70251717829402271</v>
      </c>
      <c r="H48" s="212"/>
      <c r="I48" s="213" t="s">
        <v>686</v>
      </c>
      <c r="J48" s="619">
        <f>+J49+J50+J51+J52+J53</f>
        <v>7522</v>
      </c>
      <c r="K48" s="620">
        <f t="shared" ref="K48:K53" si="9">+J48/$J$71*100</f>
        <v>6.4145845109828015</v>
      </c>
      <c r="O48" s="823" t="s">
        <v>678</v>
      </c>
      <c r="P48" s="813">
        <v>170.69937999999999</v>
      </c>
      <c r="Q48" s="815">
        <f>+P48/$P$8*100</f>
        <v>0.14783839270211296</v>
      </c>
      <c r="R48" s="829">
        <f t="shared" si="4"/>
        <v>965.25460655921984</v>
      </c>
      <c r="S48" s="735"/>
      <c r="T48" s="48"/>
      <c r="U48" s="48"/>
      <c r="Y48" s="48"/>
      <c r="Z48" s="622" t="s">
        <v>690</v>
      </c>
      <c r="AA48" s="623">
        <v>122.4898</v>
      </c>
      <c r="AB48" s="624">
        <f t="shared" si="3"/>
        <v>9.4069316284543958E-2</v>
      </c>
      <c r="AC48" s="1"/>
    </row>
    <row r="49" spans="3:29">
      <c r="C49" s="214" t="s">
        <v>677</v>
      </c>
      <c r="D49" s="215">
        <v>298.87879399999997</v>
      </c>
      <c r="E49" s="621">
        <v>0.30097809823064869</v>
      </c>
      <c r="H49" s="212"/>
      <c r="I49" s="214" t="s">
        <v>665</v>
      </c>
      <c r="J49" s="215">
        <v>1719</v>
      </c>
      <c r="K49" s="621">
        <f t="shared" si="9"/>
        <v>1.4659227299095234</v>
      </c>
      <c r="O49" s="823" t="s">
        <v>651</v>
      </c>
      <c r="P49" s="819">
        <v>169.88849999999999</v>
      </c>
      <c r="Q49" s="815">
        <f>+P49/$P$8*100</f>
        <v>0.14713611015208677</v>
      </c>
      <c r="R49" s="829">
        <f t="shared" si="4"/>
        <v>960.66931951619279</v>
      </c>
      <c r="S49" s="735"/>
      <c r="T49" s="48"/>
      <c r="U49" s="48"/>
      <c r="Y49" s="48"/>
      <c r="Z49" s="622" t="s">
        <v>681</v>
      </c>
      <c r="AA49" s="623">
        <v>118.87119000000001</v>
      </c>
      <c r="AB49" s="624">
        <f t="shared" si="3"/>
        <v>9.1290308003034712E-2</v>
      </c>
      <c r="AC49" s="1"/>
    </row>
    <row r="50" spans="3:29">
      <c r="C50" s="214"/>
      <c r="D50" s="215"/>
      <c r="E50" s="621"/>
      <c r="H50" s="212"/>
      <c r="I50" s="214" t="s">
        <v>644</v>
      </c>
      <c r="J50" s="215">
        <v>4960</v>
      </c>
      <c r="K50" s="621">
        <f t="shared" si="9"/>
        <v>4.2297712276621509</v>
      </c>
      <c r="O50" s="823" t="s">
        <v>681</v>
      </c>
      <c r="P50" s="813">
        <v>118.87119000000001</v>
      </c>
      <c r="Q50" s="815">
        <f>+P50/$P$8*100</f>
        <v>0.10295131516111825</v>
      </c>
      <c r="R50" s="829">
        <f t="shared" si="4"/>
        <v>672.18149084476045</v>
      </c>
      <c r="S50" s="735"/>
      <c r="T50" s="48"/>
      <c r="U50" s="48"/>
      <c r="Y50" s="48"/>
      <c r="Z50" s="622" t="s">
        <v>691</v>
      </c>
      <c r="AA50" s="623">
        <v>110.82942</v>
      </c>
      <c r="AB50" s="624">
        <f t="shared" si="3"/>
        <v>8.5114415760435255E-2</v>
      </c>
      <c r="AC50" s="1"/>
    </row>
    <row r="51" spans="3:29">
      <c r="C51" s="213" t="s">
        <v>692</v>
      </c>
      <c r="D51" s="619">
        <v>9029.032838000001</v>
      </c>
      <c r="E51" s="620">
        <v>9.0924521478205573</v>
      </c>
      <c r="H51" s="1"/>
      <c r="I51" s="214" t="s">
        <v>677</v>
      </c>
      <c r="J51" s="215">
        <v>172</v>
      </c>
      <c r="K51" s="621">
        <f t="shared" si="9"/>
        <v>0.14667755063667134</v>
      </c>
      <c r="O51" s="823"/>
      <c r="P51" s="813"/>
      <c r="Q51" s="814"/>
      <c r="R51" s="829">
        <f t="shared" si="4"/>
        <v>0</v>
      </c>
      <c r="S51" s="735"/>
      <c r="T51" s="48"/>
      <c r="U51" s="625"/>
      <c r="Y51" s="48"/>
      <c r="Z51" s="622" t="s">
        <v>693</v>
      </c>
      <c r="AA51" s="623">
        <v>106.94532</v>
      </c>
      <c r="AB51" s="624">
        <f t="shared" si="3"/>
        <v>8.2131517336396703E-2</v>
      </c>
      <c r="AC51" s="1"/>
    </row>
    <row r="52" spans="3:29">
      <c r="C52" s="214" t="s">
        <v>694</v>
      </c>
      <c r="D52" s="215">
        <v>7618.2057220000006</v>
      </c>
      <c r="E52" s="621">
        <v>7.6717154785407988</v>
      </c>
      <c r="I52" s="214" t="s">
        <v>695</v>
      </c>
      <c r="J52" s="215">
        <v>139</v>
      </c>
      <c r="K52" s="621">
        <f t="shared" si="9"/>
        <v>0.11853592754940299</v>
      </c>
      <c r="O52" s="824" t="s">
        <v>686</v>
      </c>
      <c r="P52" s="811">
        <f>SUM(P53:P55)</f>
        <v>7255.2708399999992</v>
      </c>
      <c r="Q52" s="812">
        <f>+P52/$P$8*100</f>
        <v>6.2836055971855833</v>
      </c>
      <c r="R52" s="828">
        <f t="shared" si="4"/>
        <v>41026.414976696338</v>
      </c>
      <c r="S52" s="734"/>
      <c r="T52" s="48"/>
      <c r="U52" s="625"/>
      <c r="Y52" s="48"/>
      <c r="Z52" s="622" t="s">
        <v>696</v>
      </c>
      <c r="AA52" s="623">
        <v>91.701380000000015</v>
      </c>
      <c r="AB52" s="624">
        <f t="shared" si="3"/>
        <v>7.0424526115228814E-2</v>
      </c>
      <c r="AC52" s="1"/>
    </row>
    <row r="53" spans="3:29">
      <c r="C53" s="214" t="s">
        <v>697</v>
      </c>
      <c r="D53" s="215">
        <v>958.62594300000012</v>
      </c>
      <c r="E53" s="621">
        <v>0.96535926613348944</v>
      </c>
      <c r="I53" s="214" t="s">
        <v>698</v>
      </c>
      <c r="J53" s="215">
        <v>532</v>
      </c>
      <c r="K53" s="621">
        <f t="shared" si="9"/>
        <v>0.45367707522505318</v>
      </c>
      <c r="O53" s="823" t="s">
        <v>644</v>
      </c>
      <c r="P53" s="813">
        <v>5831.5777600000001</v>
      </c>
      <c r="Q53" s="815">
        <f>+P53/$P$8*100</f>
        <v>5.0505812203640597</v>
      </c>
      <c r="R53" s="829">
        <f t="shared" si="4"/>
        <v>32975.850857503392</v>
      </c>
      <c r="S53" s="735"/>
      <c r="T53" s="48"/>
      <c r="U53" s="625"/>
      <c r="Y53" s="48"/>
      <c r="Z53" s="622" t="s">
        <v>699</v>
      </c>
      <c r="AA53" s="623">
        <v>62.4</v>
      </c>
      <c r="AB53" s="624">
        <f t="shared" si="3"/>
        <v>4.792174806519027E-2</v>
      </c>
      <c r="AC53" s="1"/>
    </row>
    <row r="54" spans="3:29">
      <c r="C54" s="214" t="s">
        <v>693</v>
      </c>
      <c r="D54" s="215">
        <v>408.87559199999998</v>
      </c>
      <c r="E54" s="621">
        <v>0.41174750622518458</v>
      </c>
      <c r="I54" s="214"/>
      <c r="J54" s="215"/>
      <c r="K54" s="621"/>
      <c r="O54" s="823" t="s">
        <v>665</v>
      </c>
      <c r="P54" s="813">
        <v>1206.0557599999997</v>
      </c>
      <c r="Q54" s="815">
        <f>+P54/$P$8*100</f>
        <v>1.0445342277606706</v>
      </c>
      <c r="R54" s="829">
        <f t="shared" si="4"/>
        <v>6819.8893171567497</v>
      </c>
      <c r="S54" s="735"/>
      <c r="T54" s="48"/>
      <c r="U54" s="48"/>
      <c r="Y54" s="48"/>
      <c r="Z54" s="622" t="s">
        <v>700</v>
      </c>
      <c r="AA54" s="623">
        <v>56.489800000000002</v>
      </c>
      <c r="AB54" s="624">
        <f t="shared" si="3"/>
        <v>4.3382851984823487E-2</v>
      </c>
      <c r="AC54" s="1"/>
    </row>
    <row r="55" spans="3:29">
      <c r="C55" s="214" t="s">
        <v>701</v>
      </c>
      <c r="D55" s="215">
        <v>43.325581</v>
      </c>
      <c r="E55" s="621">
        <v>4.3629896921084106E-2</v>
      </c>
      <c r="I55" s="214"/>
      <c r="J55" s="215"/>
      <c r="K55" s="621"/>
      <c r="O55" s="823" t="s">
        <v>677</v>
      </c>
      <c r="P55" s="813">
        <v>217.63732000000002</v>
      </c>
      <c r="Q55" s="815">
        <f>+P55/$P$8*100</f>
        <v>0.18849014906085437</v>
      </c>
      <c r="R55" s="829">
        <f t="shared" si="4"/>
        <v>1230.6748020362056</v>
      </c>
      <c r="S55" s="735"/>
      <c r="T55" s="48"/>
      <c r="U55" s="48"/>
      <c r="Y55" s="48"/>
      <c r="Z55" s="622" t="s">
        <v>659</v>
      </c>
      <c r="AA55" s="623">
        <v>56.117179999999998</v>
      </c>
      <c r="AB55" s="624">
        <f t="shared" si="3"/>
        <v>4.3096688495014968E-2</v>
      </c>
      <c r="AC55" s="1"/>
    </row>
    <row r="56" spans="3:29">
      <c r="C56" s="214"/>
      <c r="D56" s="215"/>
      <c r="E56" s="621"/>
      <c r="I56" s="213" t="s">
        <v>702</v>
      </c>
      <c r="J56" s="619">
        <f>+J57+J58+J59+J60+J61</f>
        <v>591</v>
      </c>
      <c r="K56" s="620">
        <f t="shared" ref="K56:K61" si="10">+J56/$J$71*100</f>
        <v>0.50399088619926025</v>
      </c>
      <c r="O56" s="823"/>
      <c r="P56" s="813"/>
      <c r="Q56" s="814"/>
      <c r="R56" s="829">
        <f t="shared" si="4"/>
        <v>0</v>
      </c>
      <c r="S56" s="735"/>
      <c r="T56" s="48"/>
      <c r="U56" s="625"/>
      <c r="Y56" s="48"/>
      <c r="Z56" s="622" t="s">
        <v>703</v>
      </c>
      <c r="AA56" s="623">
        <v>40.862119999999997</v>
      </c>
      <c r="AB56" s="624">
        <f t="shared" si="3"/>
        <v>3.1381157372589306E-2</v>
      </c>
      <c r="AC56" s="1"/>
    </row>
    <row r="57" spans="3:29">
      <c r="C57" s="213" t="s">
        <v>704</v>
      </c>
      <c r="D57" s="619">
        <v>283.372591</v>
      </c>
      <c r="E57" s="620">
        <v>0.28536298072010913</v>
      </c>
      <c r="I57" s="214" t="s">
        <v>705</v>
      </c>
      <c r="J57" s="215">
        <v>196</v>
      </c>
      <c r="K57" s="621">
        <f t="shared" si="10"/>
        <v>0.16714418560923014</v>
      </c>
      <c r="O57" s="824" t="s">
        <v>692</v>
      </c>
      <c r="P57" s="811">
        <f>SUM(P59:P64)</f>
        <v>695.36444000000006</v>
      </c>
      <c r="Q57" s="812">
        <f t="shared" ref="Q57:Q64" si="11">+P57/$P$8*100</f>
        <v>0.6022374606855917</v>
      </c>
      <c r="R57" s="828">
        <f t="shared" si="4"/>
        <v>3932.0806493115106</v>
      </c>
      <c r="S57" s="734"/>
      <c r="T57" s="48"/>
      <c r="U57" s="625"/>
      <c r="Y57" s="48"/>
      <c r="Z57" s="622" t="s">
        <v>706</v>
      </c>
      <c r="AA57" s="623">
        <v>30.61224</v>
      </c>
      <c r="AB57" s="624">
        <f t="shared" si="3"/>
        <v>2.350948802870417E-2</v>
      </c>
      <c r="AC57" s="1"/>
    </row>
    <row r="58" spans="3:29" ht="15" thickBot="1">
      <c r="C58" s="214" t="s">
        <v>700</v>
      </c>
      <c r="D58" s="215">
        <v>176.86574100000001</v>
      </c>
      <c r="E58" s="621">
        <v>0.1781080338819036</v>
      </c>
      <c r="I58" s="214" t="s">
        <v>707</v>
      </c>
      <c r="J58" s="215">
        <v>143</v>
      </c>
      <c r="K58" s="621">
        <f t="shared" si="10"/>
        <v>0.1219470333781628</v>
      </c>
      <c r="O58" s="823" t="s">
        <v>640</v>
      </c>
      <c r="P58" s="813">
        <v>1898.9568399999998</v>
      </c>
      <c r="Q58" s="815">
        <f>+P58/$P$8*100</f>
        <v>1.644638234985291</v>
      </c>
      <c r="R58" s="829">
        <f t="shared" si="4"/>
        <v>10738.040392807163</v>
      </c>
      <c r="S58" s="735"/>
      <c r="T58" s="48"/>
      <c r="U58" s="625"/>
      <c r="Y58" s="48"/>
      <c r="Z58" s="629"/>
      <c r="AA58" s="630"/>
      <c r="AB58" s="631"/>
    </row>
    <row r="59" spans="3:29" ht="15" thickTop="1">
      <c r="C59" s="214" t="s">
        <v>587</v>
      </c>
      <c r="D59" s="215">
        <v>53.253425</v>
      </c>
      <c r="E59" s="621">
        <v>5.3627473419102754E-2</v>
      </c>
      <c r="I59" s="214" t="s">
        <v>708</v>
      </c>
      <c r="J59" s="215">
        <v>96</v>
      </c>
      <c r="K59" s="621">
        <f t="shared" si="10"/>
        <v>8.1866539890235165E-2</v>
      </c>
      <c r="O59" s="823" t="s">
        <v>675</v>
      </c>
      <c r="P59" s="813">
        <v>232.78628</v>
      </c>
      <c r="Q59" s="815">
        <f t="shared" si="11"/>
        <v>0.20161027812932902</v>
      </c>
      <c r="R59" s="829">
        <f t="shared" si="4"/>
        <v>1316.3376991397645</v>
      </c>
      <c r="S59" s="735"/>
      <c r="T59" s="48"/>
      <c r="U59" s="625"/>
      <c r="Y59" s="48"/>
    </row>
    <row r="60" spans="3:29">
      <c r="C60" s="214" t="s">
        <v>703</v>
      </c>
      <c r="D60" s="215">
        <v>53.253425</v>
      </c>
      <c r="E60" s="621"/>
      <c r="I60" s="214" t="s">
        <v>709</v>
      </c>
      <c r="J60" s="215">
        <v>96</v>
      </c>
      <c r="K60" s="621">
        <f t="shared" si="10"/>
        <v>8.1866539890235165E-2</v>
      </c>
      <c r="O60" s="823" t="s">
        <v>690</v>
      </c>
      <c r="P60" s="813">
        <v>122.4898</v>
      </c>
      <c r="Q60" s="815">
        <f t="shared" si="11"/>
        <v>0.10608530127293536</v>
      </c>
      <c r="R60" s="829">
        <f t="shared" si="4"/>
        <v>692.64366224714774</v>
      </c>
      <c r="S60" s="735"/>
      <c r="T60" s="48"/>
      <c r="U60" s="625"/>
      <c r="Y60" s="48"/>
    </row>
    <row r="61" spans="3:29">
      <c r="C61" s="214"/>
      <c r="D61" s="215"/>
      <c r="E61" s="621"/>
      <c r="I61" s="214" t="s">
        <v>671</v>
      </c>
      <c r="J61" s="215">
        <v>60</v>
      </c>
      <c r="K61" s="621">
        <f t="shared" si="10"/>
        <v>5.1166587431396973E-2</v>
      </c>
      <c r="O61" s="823" t="s">
        <v>691</v>
      </c>
      <c r="P61" s="813">
        <v>110.82942</v>
      </c>
      <c r="Q61" s="815">
        <f t="shared" si="11"/>
        <v>9.5986542639507025E-2</v>
      </c>
      <c r="R61" s="829">
        <f t="shared" si="4"/>
        <v>626.70765527845811</v>
      </c>
      <c r="S61" s="735"/>
      <c r="T61" s="48"/>
      <c r="U61" s="625"/>
      <c r="Y61" s="48"/>
    </row>
    <row r="62" spans="3:29">
      <c r="C62" s="213" t="s">
        <v>702</v>
      </c>
      <c r="D62" s="619">
        <v>130.97350599999999</v>
      </c>
      <c r="E62" s="620">
        <v>0.13189345495846877</v>
      </c>
      <c r="I62" s="214"/>
      <c r="J62" s="215"/>
      <c r="K62" s="621"/>
      <c r="O62" s="823" t="s">
        <v>693</v>
      </c>
      <c r="P62" s="813">
        <v>106.94532</v>
      </c>
      <c r="Q62" s="815">
        <f t="shared" si="11"/>
        <v>9.2622622389215079E-2</v>
      </c>
      <c r="R62" s="829">
        <f t="shared" si="4"/>
        <v>604.74421629387189</v>
      </c>
      <c r="S62" s="735"/>
      <c r="T62" s="48"/>
      <c r="U62" s="48"/>
      <c r="Y62" s="48"/>
    </row>
    <row r="63" spans="3:29">
      <c r="C63" s="214" t="s">
        <v>710</v>
      </c>
      <c r="D63" s="215">
        <v>115.076954</v>
      </c>
      <c r="E63" s="621">
        <v>0.11588524666322043</v>
      </c>
      <c r="I63" s="213" t="s">
        <v>704</v>
      </c>
      <c r="J63" s="619">
        <f>+J64+J65+J66+J67</f>
        <v>1384</v>
      </c>
      <c r="K63" s="620">
        <f>+J63/$J$71*100</f>
        <v>1.1802426167508904</v>
      </c>
      <c r="O63" s="823" t="s">
        <v>696</v>
      </c>
      <c r="P63" s="813">
        <v>91.701380000000015</v>
      </c>
      <c r="Q63" s="815">
        <f t="shared" si="11"/>
        <v>7.9420233557765049E-2</v>
      </c>
      <c r="R63" s="829">
        <f t="shared" si="4"/>
        <v>518.54423532667499</v>
      </c>
      <c r="S63" s="735"/>
      <c r="T63" s="48"/>
      <c r="U63" s="48"/>
      <c r="Y63" s="48"/>
    </row>
    <row r="64" spans="3:29">
      <c r="C64" s="214" t="s">
        <v>705</v>
      </c>
      <c r="D64" s="215">
        <v>15.896552</v>
      </c>
      <c r="E64" s="621">
        <v>1.6008208295248325E-2</v>
      </c>
      <c r="I64" s="214" t="s">
        <v>700</v>
      </c>
      <c r="J64" s="215">
        <v>416</v>
      </c>
      <c r="K64" s="621">
        <f>+J64/$J$71*100</f>
        <v>0.35475500619101907</v>
      </c>
      <c r="O64" s="823" t="s">
        <v>706</v>
      </c>
      <c r="P64" s="813">
        <v>30.61224</v>
      </c>
      <c r="Q64" s="815">
        <f t="shared" si="11"/>
        <v>2.6512482696840086E-2</v>
      </c>
      <c r="R64" s="829">
        <f t="shared" si="4"/>
        <v>173.10318102559253</v>
      </c>
      <c r="S64" s="735"/>
      <c r="T64" s="48"/>
      <c r="U64" s="625"/>
      <c r="Y64" s="48"/>
    </row>
    <row r="65" spans="3:25">
      <c r="C65" s="214"/>
      <c r="D65" s="215"/>
      <c r="E65" s="621"/>
      <c r="I65" s="214" t="s">
        <v>703</v>
      </c>
      <c r="J65" s="215">
        <v>342</v>
      </c>
      <c r="K65" s="621">
        <f>+J65/$J$71*100</f>
        <v>0.29164954835896278</v>
      </c>
      <c r="O65" s="823"/>
      <c r="P65" s="813"/>
      <c r="Q65" s="815"/>
      <c r="R65" s="829">
        <f t="shared" si="4"/>
        <v>0</v>
      </c>
      <c r="S65" s="735"/>
      <c r="T65" s="48"/>
      <c r="U65" s="625"/>
      <c r="Y65" s="48"/>
    </row>
    <row r="66" spans="3:25">
      <c r="C66" s="213" t="s">
        <v>711</v>
      </c>
      <c r="D66" s="619">
        <v>67.20225099999999</v>
      </c>
      <c r="E66" s="620">
        <v>6.7674275019989238E-2</v>
      </c>
      <c r="I66" s="214" t="s">
        <v>587</v>
      </c>
      <c r="J66" s="215">
        <v>135</v>
      </c>
      <c r="K66" s="621">
        <f>+J66/$J$71*100</f>
        <v>0.1151248217206432</v>
      </c>
      <c r="O66" s="824" t="s">
        <v>704</v>
      </c>
      <c r="P66" s="811">
        <f>SUM(P67:P71)</f>
        <v>556.76049999999998</v>
      </c>
      <c r="Q66" s="812">
        <f t="shared" ref="Q66:Q71" si="12">+P66/$P$8*100</f>
        <v>0.48219611248748973</v>
      </c>
      <c r="R66" s="828">
        <f t="shared" si="4"/>
        <v>3148.3162819643189</v>
      </c>
      <c r="S66" s="734"/>
      <c r="T66" s="48"/>
      <c r="U66" s="625"/>
      <c r="Y66" s="48"/>
    </row>
    <row r="67" spans="3:25">
      <c r="C67" s="214"/>
      <c r="D67" s="215"/>
      <c r="E67" s="621"/>
      <c r="I67" s="214" t="s">
        <v>712</v>
      </c>
      <c r="J67" s="215">
        <v>491</v>
      </c>
      <c r="K67" s="621">
        <f>+J67/$J$71*100</f>
        <v>0.41871324048026526</v>
      </c>
      <c r="O67" s="823" t="s">
        <v>672</v>
      </c>
      <c r="P67" s="813">
        <v>236.63215</v>
      </c>
      <c r="Q67" s="815">
        <f t="shared" si="12"/>
        <v>0.20494108834868235</v>
      </c>
      <c r="R67" s="829">
        <f t="shared" si="4"/>
        <v>1338.084958759149</v>
      </c>
      <c r="S67" s="735"/>
      <c r="T67" s="48"/>
      <c r="U67" s="625"/>
      <c r="Y67" s="48"/>
    </row>
    <row r="68" spans="3:25" ht="15" thickBot="1">
      <c r="C68" s="216" t="s">
        <v>53</v>
      </c>
      <c r="D68" s="217">
        <v>99302.505982000061</v>
      </c>
      <c r="E68" s="632">
        <v>100</v>
      </c>
      <c r="G68" s="218"/>
      <c r="H68" s="218"/>
      <c r="I68" s="214"/>
      <c r="J68" s="215"/>
      <c r="K68" s="621"/>
      <c r="L68" s="218"/>
      <c r="O68" s="823" t="s">
        <v>587</v>
      </c>
      <c r="P68" s="813">
        <v>160.37643</v>
      </c>
      <c r="Q68" s="815">
        <f t="shared" si="12"/>
        <v>0.13889794818530057</v>
      </c>
      <c r="R68" s="829">
        <f t="shared" si="4"/>
        <v>906.88137145560961</v>
      </c>
      <c r="S68" s="735"/>
      <c r="T68" s="48"/>
      <c r="U68" s="625"/>
      <c r="Y68" s="48"/>
    </row>
    <row r="69" spans="3:25" ht="15" thickTop="1">
      <c r="I69" s="213" t="s">
        <v>713</v>
      </c>
      <c r="J69" s="619">
        <v>570.08790999999997</v>
      </c>
      <c r="K69" s="620">
        <f>+J69/$J$71*100</f>
        <v>0.48615754817662282</v>
      </c>
      <c r="O69" s="823" t="s">
        <v>699</v>
      </c>
      <c r="P69" s="813">
        <v>62.4</v>
      </c>
      <c r="Q69" s="815">
        <f t="shared" si="12"/>
        <v>5.4043053376127373E-2</v>
      </c>
      <c r="R69" s="829">
        <f t="shared" si="4"/>
        <v>352.85358065914079</v>
      </c>
      <c r="S69" s="735"/>
      <c r="T69" s="48"/>
      <c r="U69" s="625"/>
      <c r="Y69" s="48"/>
    </row>
    <row r="70" spans="3:25">
      <c r="I70" s="214"/>
      <c r="J70" s="215"/>
      <c r="K70" s="621"/>
      <c r="O70" s="823" t="s">
        <v>700</v>
      </c>
      <c r="P70" s="813">
        <v>56.489800000000002</v>
      </c>
      <c r="Q70" s="815">
        <f t="shared" si="12"/>
        <v>4.8924379432800646E-2</v>
      </c>
      <c r="R70" s="829">
        <f t="shared" si="4"/>
        <v>319.43314424228737</v>
      </c>
      <c r="S70" s="735"/>
      <c r="T70" s="115"/>
      <c r="U70" s="115"/>
      <c r="Y70" s="48"/>
    </row>
    <row r="71" spans="3:25" ht="15" thickBot="1">
      <c r="I71" s="216" t="s">
        <v>714</v>
      </c>
      <c r="J71" s="217">
        <f>+J69+J63+J56+J48+J34+J41+J28+J9</f>
        <v>117264.02523999996</v>
      </c>
      <c r="K71" s="633">
        <f>+K69+K63+K56+K48+K34+K41+K28+K9</f>
        <v>100</v>
      </c>
      <c r="L71" s="115"/>
      <c r="O71" s="823" t="s">
        <v>703</v>
      </c>
      <c r="P71" s="813">
        <v>40.862119999999997</v>
      </c>
      <c r="Q71" s="815">
        <f t="shared" si="12"/>
        <v>3.5389643144578875E-2</v>
      </c>
      <c r="R71" s="829">
        <f t="shared" si="4"/>
        <v>231.06322684813284</v>
      </c>
      <c r="S71" s="735"/>
      <c r="T71" s="1"/>
      <c r="U71" s="1"/>
      <c r="Y71" s="48"/>
    </row>
    <row r="72" spans="3:25" ht="15.6" thickTop="1" thickBot="1">
      <c r="C72" s="207"/>
      <c r="D72" s="115"/>
      <c r="E72" s="613"/>
      <c r="I72" s="207"/>
      <c r="J72" s="115"/>
      <c r="K72" s="613"/>
      <c r="O72" s="825"/>
      <c r="P72" s="826"/>
      <c r="Q72" s="831"/>
      <c r="R72" s="832">
        <f t="shared" si="4"/>
        <v>0</v>
      </c>
      <c r="S72" s="809"/>
      <c r="Y72" s="48"/>
    </row>
    <row r="73" spans="3:25">
      <c r="C73" s="207"/>
      <c r="D73" s="115"/>
      <c r="E73" s="613"/>
      <c r="I73" s="207"/>
      <c r="J73" s="115"/>
      <c r="K73" s="613"/>
      <c r="O73" s="730"/>
      <c r="P73" s="115"/>
      <c r="Q73" s="115"/>
      <c r="R73" s="115"/>
      <c r="S73" s="810"/>
      <c r="Y73" s="48"/>
    </row>
    <row r="74" spans="3:25">
      <c r="C74" s="207"/>
      <c r="D74" s="115"/>
      <c r="E74" s="613"/>
      <c r="O74" s="683"/>
      <c r="P74" s="1"/>
      <c r="Q74" s="1"/>
      <c r="R74" s="1"/>
      <c r="S74" s="625"/>
      <c r="Y74" s="48"/>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5" zoomScaleNormal="100" workbookViewId="0">
      <selection activeCell="R12" sqref="R12"/>
    </sheetView>
  </sheetViews>
  <sheetFormatPr baseColWidth="10" defaultColWidth="11.44140625" defaultRowHeight="14.4"/>
  <cols>
    <col min="1" max="2" width="11.44140625" style="421" customWidth="1"/>
    <col min="3" max="4" width="18.109375" style="446" customWidth="1"/>
    <col min="5" max="6" width="18.109375" style="447" customWidth="1"/>
    <col min="7" max="7" width="24" style="448" customWidth="1"/>
    <col min="8" max="8" width="6.88671875" style="448" customWidth="1"/>
    <col min="9" max="10" width="16" style="449" customWidth="1"/>
    <col min="11" max="11" width="17.88671875" style="421" customWidth="1"/>
    <col min="12" max="12" width="11.44140625" style="421" customWidth="1"/>
    <col min="13" max="13" width="25" style="421" customWidth="1"/>
    <col min="14" max="14" width="5.6640625" style="421" customWidth="1"/>
    <col min="15" max="15" width="7.88671875" style="421" customWidth="1"/>
    <col min="16" max="16" width="18.21875" style="421" bestFit="1" customWidth="1"/>
    <col min="17" max="17" width="23.6640625" style="421" customWidth="1"/>
    <col min="18" max="19" width="11.44140625" style="421" customWidth="1"/>
    <col min="20" max="20" width="19.5546875" style="421" customWidth="1"/>
    <col min="21" max="21" width="6" style="421" customWidth="1"/>
    <col min="22" max="22" width="7.44140625" style="421" customWidth="1"/>
    <col min="23" max="16384" width="11.44140625" style="421"/>
  </cols>
  <sheetData>
    <row r="2" spans="3:21" s="498" customFormat="1" ht="17.399999999999999">
      <c r="C2" s="492" t="s">
        <v>116</v>
      </c>
      <c r="D2" s="493"/>
      <c r="E2" s="494"/>
      <c r="F2" s="494"/>
      <c r="G2" s="495" t="s">
        <v>396</v>
      </c>
      <c r="H2" s="496"/>
      <c r="I2" s="497"/>
      <c r="J2" s="497"/>
    </row>
    <row r="3" spans="3:21" ht="15.6">
      <c r="C3" s="442"/>
      <c r="D3" s="443"/>
      <c r="G3" s="444"/>
      <c r="H3" s="444"/>
    </row>
    <row r="4" spans="3:21" hidden="1">
      <c r="C4" s="443"/>
      <c r="D4" s="443"/>
    </row>
    <row r="5" spans="3:21" ht="15.6" hidden="1">
      <c r="C5" s="443"/>
      <c r="D5" s="443"/>
      <c r="G5" s="444"/>
      <c r="H5" s="444"/>
    </row>
    <row r="6" spans="3:21">
      <c r="C6" s="440" t="s">
        <v>327</v>
      </c>
      <c r="D6" s="441"/>
    </row>
    <row r="7" spans="3:21" hidden="1">
      <c r="C7" s="443"/>
      <c r="D7" s="443"/>
    </row>
    <row r="8" spans="3:21" ht="15.6">
      <c r="C8" s="450" t="s">
        <v>339</v>
      </c>
      <c r="D8" s="450"/>
      <c r="G8" s="422" t="s">
        <v>339</v>
      </c>
      <c r="H8" s="422"/>
      <c r="M8" s="219" t="s">
        <v>715</v>
      </c>
      <c r="N8" s="219"/>
      <c r="O8" s="613"/>
      <c r="P8" s="613"/>
      <c r="Q8"/>
    </row>
    <row r="9" spans="3:21" ht="16.2" thickBot="1">
      <c r="C9" s="450" t="s">
        <v>340</v>
      </c>
      <c r="D9" s="450"/>
      <c r="G9" s="499" t="s">
        <v>833</v>
      </c>
      <c r="H9" s="422"/>
      <c r="M9" s="219" t="s">
        <v>624</v>
      </c>
      <c r="N9" s="219"/>
      <c r="O9" s="613"/>
      <c r="P9" s="613"/>
      <c r="Q9"/>
    </row>
    <row r="10" spans="3:21" ht="15" hidden="1" thickBot="1">
      <c r="C10" s="451"/>
      <c r="D10" s="451"/>
      <c r="G10" s="421"/>
      <c r="H10" s="421"/>
      <c r="M10"/>
      <c r="N10"/>
      <c r="O10" s="5791" t="s">
        <v>716</v>
      </c>
      <c r="P10" s="5792"/>
      <c r="Q10" s="5793"/>
    </row>
    <row r="11" spans="3:21" ht="54" customHeight="1" thickBot="1">
      <c r="C11" s="452" t="s">
        <v>341</v>
      </c>
      <c r="D11" s="452"/>
      <c r="E11" s="453" t="s">
        <v>342</v>
      </c>
      <c r="F11" s="737" t="s">
        <v>343</v>
      </c>
      <c r="G11" s="453" t="s">
        <v>341</v>
      </c>
      <c r="H11" s="776"/>
      <c r="I11" s="777" t="s">
        <v>398</v>
      </c>
      <c r="J11" s="445" t="s">
        <v>399</v>
      </c>
      <c r="K11" s="777" t="s">
        <v>400</v>
      </c>
      <c r="L11" s="778"/>
      <c r="M11" s="779" t="s">
        <v>341</v>
      </c>
      <c r="N11" s="779"/>
      <c r="O11" s="634" t="s">
        <v>171</v>
      </c>
      <c r="P11" s="634" t="s">
        <v>717</v>
      </c>
      <c r="Q11" s="780" t="s">
        <v>718</v>
      </c>
      <c r="R11" s="778"/>
      <c r="S11" s="778"/>
      <c r="T11" s="781" t="s">
        <v>826</v>
      </c>
      <c r="U11" s="736">
        <v>652912</v>
      </c>
    </row>
    <row r="12" spans="3:21">
      <c r="C12" s="454" t="s">
        <v>338</v>
      </c>
      <c r="D12" s="455">
        <f t="shared" ref="D12:D34" si="0">E12/$E$36</f>
        <v>0.72116141441123738</v>
      </c>
      <c r="E12" s="456">
        <v>21307.819242000034</v>
      </c>
      <c r="F12" s="738">
        <f t="shared" ref="F12:F34" si="1">+E12/$E$36*100</f>
        <v>72.116141441123744</v>
      </c>
      <c r="G12" s="766" t="s">
        <v>401</v>
      </c>
      <c r="H12" s="767">
        <f>'perfil-mas visitado'!W15</f>
        <v>0.860930066613669</v>
      </c>
      <c r="I12" s="768">
        <v>30566</v>
      </c>
      <c r="J12" s="769">
        <v>486</v>
      </c>
      <c r="K12" s="770">
        <v>0</v>
      </c>
      <c r="L12" s="771"/>
      <c r="M12" s="772" t="s">
        <v>401</v>
      </c>
      <c r="N12" s="773">
        <f>O12/$O$36</f>
        <v>0.860930066613669</v>
      </c>
      <c r="O12" s="3653">
        <v>30000</v>
      </c>
      <c r="P12" s="3654">
        <v>486</v>
      </c>
      <c r="Q12" s="774">
        <v>0</v>
      </c>
      <c r="R12" s="771"/>
      <c r="S12" s="771"/>
      <c r="T12" s="775">
        <f>$U$11*H12</f>
        <v>562111.57165286387</v>
      </c>
    </row>
    <row r="13" spans="3:21">
      <c r="C13" s="454" t="s">
        <v>332</v>
      </c>
      <c r="D13" s="455">
        <f t="shared" si="0"/>
        <v>0.11516529867882265</v>
      </c>
      <c r="E13" s="456">
        <v>3402.7352519999999</v>
      </c>
      <c r="F13" s="738">
        <f t="shared" si="1"/>
        <v>11.516529867882266</v>
      </c>
      <c r="G13" s="2172" t="s">
        <v>332</v>
      </c>
      <c r="H13" s="742">
        <f t="shared" ref="H13:H35" si="2">I13/$I$36</f>
        <v>3.9229471316085486E-2</v>
      </c>
      <c r="I13" s="744">
        <v>1395</v>
      </c>
      <c r="J13" s="743">
        <v>1986</v>
      </c>
      <c r="K13" s="745">
        <v>1.42</v>
      </c>
      <c r="L13" s="741"/>
      <c r="M13" s="746" t="s">
        <v>332</v>
      </c>
      <c r="N13" s="747">
        <f t="shared" ref="N13:N36" si="3">O13/$O$36</f>
        <v>5.7400724326694713E-2</v>
      </c>
      <c r="O13" s="3655">
        <v>2000.1876999999999</v>
      </c>
      <c r="P13" s="3656">
        <v>4486.1441400000003</v>
      </c>
      <c r="Q13" s="748">
        <v>2.3928823587263661</v>
      </c>
      <c r="R13" s="741"/>
      <c r="S13" s="741"/>
      <c r="T13" s="754">
        <f t="shared" ref="T13:T35" si="4">$U$11*H13</f>
        <v>25613.392575928006</v>
      </c>
    </row>
    <row r="14" spans="3:21">
      <c r="C14" s="454" t="s">
        <v>60</v>
      </c>
      <c r="D14" s="455">
        <f t="shared" si="0"/>
        <v>4.0343898861785139E-2</v>
      </c>
      <c r="E14" s="456">
        <v>1192.0223229999997</v>
      </c>
      <c r="F14" s="738">
        <f t="shared" si="1"/>
        <v>4.0343898861785137</v>
      </c>
      <c r="G14" s="753" t="s">
        <v>395</v>
      </c>
      <c r="H14" s="742">
        <f t="shared" si="2"/>
        <v>3.2733408323959504E-2</v>
      </c>
      <c r="I14" s="743">
        <v>1164</v>
      </c>
      <c r="J14" s="744">
        <v>631</v>
      </c>
      <c r="K14" s="745">
        <v>0</v>
      </c>
      <c r="L14" s="741"/>
      <c r="M14" s="746" t="s">
        <v>331</v>
      </c>
      <c r="N14" s="747">
        <f t="shared" si="3"/>
        <v>2.3439544531789782E-2</v>
      </c>
      <c r="O14" s="3655">
        <v>816.77521000000002</v>
      </c>
      <c r="P14" s="3656">
        <v>4729.6940599999998</v>
      </c>
      <c r="Q14" s="748">
        <v>5.119262051570292</v>
      </c>
      <c r="R14" s="741"/>
      <c r="S14" s="741"/>
      <c r="T14" s="754">
        <f t="shared" si="4"/>
        <v>21372.035095613046</v>
      </c>
    </row>
    <row r="15" spans="3:21">
      <c r="C15" s="454" t="s">
        <v>331</v>
      </c>
      <c r="D15" s="455">
        <f t="shared" si="0"/>
        <v>2.3310001795609658E-2</v>
      </c>
      <c r="E15" s="456">
        <v>688.72972800000002</v>
      </c>
      <c r="F15" s="738">
        <f t="shared" si="1"/>
        <v>2.3310001795609656</v>
      </c>
      <c r="G15" s="753" t="s">
        <v>331</v>
      </c>
      <c r="H15" s="742">
        <f t="shared" si="2"/>
        <v>7.9021372328458937E-3</v>
      </c>
      <c r="I15" s="744">
        <v>281</v>
      </c>
      <c r="J15" s="744">
        <v>0</v>
      </c>
      <c r="K15" s="745">
        <v>0</v>
      </c>
      <c r="L15" s="741"/>
      <c r="M15" s="746" t="s">
        <v>58</v>
      </c>
      <c r="N15" s="747">
        <f t="shared" si="3"/>
        <v>5.2531831907035318E-3</v>
      </c>
      <c r="O15" s="3655">
        <v>183.05260999999999</v>
      </c>
      <c r="P15" s="3656">
        <v>1199.0211400000001</v>
      </c>
      <c r="Q15" s="748">
        <v>4.4590058000605808</v>
      </c>
      <c r="R15" s="741"/>
      <c r="S15" s="741"/>
      <c r="T15" s="754">
        <f t="shared" si="4"/>
        <v>5159.4002249718778</v>
      </c>
    </row>
    <row r="16" spans="3:21">
      <c r="C16" s="454" t="s">
        <v>61</v>
      </c>
      <c r="D16" s="455">
        <f t="shared" si="0"/>
        <v>1.7775655034713851E-2</v>
      </c>
      <c r="E16" s="456">
        <v>525.20897100000002</v>
      </c>
      <c r="F16" s="738">
        <f t="shared" si="1"/>
        <v>1.7775655034713851</v>
      </c>
      <c r="G16" s="2173" t="s">
        <v>60</v>
      </c>
      <c r="H16" s="742">
        <f t="shared" si="2"/>
        <v>7.1428571428571426E-3</v>
      </c>
      <c r="I16" s="744">
        <v>254</v>
      </c>
      <c r="J16" s="744">
        <v>523</v>
      </c>
      <c r="K16" s="745">
        <v>2.06</v>
      </c>
      <c r="L16" s="741"/>
      <c r="M16" s="746" t="s">
        <v>719</v>
      </c>
      <c r="N16" s="747">
        <f t="shared" si="3"/>
        <v>7.1239124812828179E-3</v>
      </c>
      <c r="O16" s="3655">
        <v>248.24011000000002</v>
      </c>
      <c r="P16" s="3656">
        <v>1548.87698</v>
      </c>
      <c r="Q16" s="748">
        <v>7.64877392490523</v>
      </c>
      <c r="R16" s="741"/>
      <c r="S16" s="741"/>
      <c r="T16" s="754">
        <f t="shared" si="4"/>
        <v>4663.6571428571424</v>
      </c>
    </row>
    <row r="17" spans="3:27">
      <c r="C17" s="454" t="s">
        <v>55</v>
      </c>
      <c r="D17" s="455">
        <f t="shared" si="0"/>
        <v>1.1695172166978282E-2</v>
      </c>
      <c r="E17" s="456">
        <v>345.5517857142857</v>
      </c>
      <c r="F17" s="738">
        <f t="shared" si="1"/>
        <v>1.1695172166978283</v>
      </c>
      <c r="G17" s="753" t="s">
        <v>117</v>
      </c>
      <c r="H17" s="742">
        <f t="shared" si="2"/>
        <v>6.5241844769403827E-3</v>
      </c>
      <c r="I17" s="744">
        <v>232</v>
      </c>
      <c r="J17" s="744">
        <v>142</v>
      </c>
      <c r="K17" s="745">
        <v>0</v>
      </c>
      <c r="L17" s="741"/>
      <c r="M17" s="746" t="s">
        <v>56</v>
      </c>
      <c r="N17" s="747">
        <f t="shared" si="3"/>
        <v>7.0526682224570257E-3</v>
      </c>
      <c r="O17" s="3655">
        <v>245.75753</v>
      </c>
      <c r="P17" s="3656">
        <v>4071.4134199999999</v>
      </c>
      <c r="Q17" s="748">
        <v>16.513291640154129</v>
      </c>
      <c r="R17" s="741"/>
      <c r="S17" s="741"/>
      <c r="T17" s="754">
        <f t="shared" si="4"/>
        <v>4259.7183352080992</v>
      </c>
    </row>
    <row r="18" spans="3:27">
      <c r="C18" s="454" t="s">
        <v>333</v>
      </c>
      <c r="D18" s="455">
        <f t="shared" si="0"/>
        <v>1.4934877095337978E-2</v>
      </c>
      <c r="E18" s="456">
        <v>441.27383299999997</v>
      </c>
      <c r="F18" s="738">
        <f t="shared" si="1"/>
        <v>1.4934877095337977</v>
      </c>
      <c r="G18" s="2172" t="s">
        <v>59</v>
      </c>
      <c r="H18" s="742">
        <f t="shared" si="2"/>
        <v>6.2710911136107991E-3</v>
      </c>
      <c r="I18" s="744">
        <v>223</v>
      </c>
      <c r="J18" s="744">
        <v>986</v>
      </c>
      <c r="K18" s="745">
        <v>4.41</v>
      </c>
      <c r="L18" s="741"/>
      <c r="M18" s="746" t="s">
        <v>720</v>
      </c>
      <c r="N18" s="747">
        <f t="shared" si="3"/>
        <v>5.3344262913229759E-3</v>
      </c>
      <c r="O18" s="3655">
        <v>185.88361</v>
      </c>
      <c r="P18" s="3656">
        <v>485.88486999999998</v>
      </c>
      <c r="Q18" s="748">
        <v>2.6139199147251335</v>
      </c>
      <c r="R18" s="741"/>
      <c r="S18" s="741"/>
      <c r="T18" s="754">
        <f t="shared" si="4"/>
        <v>4094.4706411698539</v>
      </c>
    </row>
    <row r="19" spans="3:27">
      <c r="C19" s="454" t="s">
        <v>334</v>
      </c>
      <c r="D19" s="455">
        <f t="shared" si="0"/>
        <v>3.0669911499105044E-3</v>
      </c>
      <c r="E19" s="456">
        <v>90.618954000000002</v>
      </c>
      <c r="F19" s="738">
        <f t="shared" si="1"/>
        <v>0.30669911499105046</v>
      </c>
      <c r="G19" s="753" t="s">
        <v>61</v>
      </c>
      <c r="H19" s="742">
        <f t="shared" si="2"/>
        <v>6.0461192350956131E-3</v>
      </c>
      <c r="I19" s="744">
        <v>215</v>
      </c>
      <c r="J19" s="744">
        <v>233</v>
      </c>
      <c r="K19" s="745">
        <v>1.08</v>
      </c>
      <c r="L19" s="741"/>
      <c r="M19" s="746" t="s">
        <v>721</v>
      </c>
      <c r="N19" s="747">
        <f t="shared" si="3"/>
        <v>4.5938924159215173E-3</v>
      </c>
      <c r="O19" s="3655">
        <v>160.07893999999999</v>
      </c>
      <c r="P19" s="3656">
        <v>602.01189999999997</v>
      </c>
      <c r="Q19" s="748">
        <v>3.815645863187592</v>
      </c>
      <c r="R19" s="741"/>
      <c r="S19" s="741"/>
      <c r="T19" s="754">
        <f t="shared" si="4"/>
        <v>3947.583802024747</v>
      </c>
    </row>
    <row r="20" spans="3:27">
      <c r="C20" s="454" t="s">
        <v>58</v>
      </c>
      <c r="D20" s="455">
        <f t="shared" si="0"/>
        <v>9.5893761484405361E-3</v>
      </c>
      <c r="E20" s="456">
        <v>283.33281499999998</v>
      </c>
      <c r="F20" s="738">
        <f t="shared" si="1"/>
        <v>0.9589376148440536</v>
      </c>
      <c r="G20" s="2172" t="s">
        <v>56</v>
      </c>
      <c r="H20" s="742">
        <f t="shared" si="2"/>
        <v>5.2024746906636672E-3</v>
      </c>
      <c r="I20" s="744">
        <v>185</v>
      </c>
      <c r="J20" s="744">
        <v>196</v>
      </c>
      <c r="K20" s="745">
        <v>1.06</v>
      </c>
      <c r="L20" s="741"/>
      <c r="M20" s="746" t="s">
        <v>64</v>
      </c>
      <c r="N20" s="747">
        <f t="shared" si="3"/>
        <v>3.7914975584902896E-3</v>
      </c>
      <c r="O20" s="3655">
        <v>132.11866000000001</v>
      </c>
      <c r="P20" s="3656">
        <v>179.51549</v>
      </c>
      <c r="Q20" s="748">
        <v>1.3587444044618677</v>
      </c>
      <c r="R20" s="741"/>
      <c r="S20" s="741"/>
      <c r="T20" s="754">
        <f t="shared" si="4"/>
        <v>3396.7581552305965</v>
      </c>
    </row>
    <row r="21" spans="3:27">
      <c r="C21" s="454" t="s">
        <v>57</v>
      </c>
      <c r="D21" s="455">
        <f t="shared" si="0"/>
        <v>7.5273584551540824E-3</v>
      </c>
      <c r="E21" s="456">
        <v>222.407342</v>
      </c>
      <c r="F21" s="738">
        <f t="shared" si="1"/>
        <v>0.75273584551540829</v>
      </c>
      <c r="G21" s="2172" t="s">
        <v>334</v>
      </c>
      <c r="H21" s="742">
        <f t="shared" si="2"/>
        <v>4.7525309336332961E-3</v>
      </c>
      <c r="I21" s="744">
        <v>169</v>
      </c>
      <c r="J21" s="744">
        <v>1024</v>
      </c>
      <c r="K21" s="745">
        <v>6.07</v>
      </c>
      <c r="L21" s="741"/>
      <c r="M21" s="746" t="s">
        <v>55</v>
      </c>
      <c r="N21" s="747">
        <f t="shared" si="3"/>
        <v>1.7531159123190584E-3</v>
      </c>
      <c r="O21" s="3655">
        <v>61.08914</v>
      </c>
      <c r="P21" s="3656">
        <v>433.94388000000004</v>
      </c>
      <c r="Q21" s="748">
        <v>6</v>
      </c>
      <c r="R21" s="741"/>
      <c r="S21" s="741"/>
      <c r="T21" s="754">
        <f t="shared" si="4"/>
        <v>3102.9844769403826</v>
      </c>
    </row>
    <row r="22" spans="3:27">
      <c r="C22" s="454" t="s">
        <v>117</v>
      </c>
      <c r="D22" s="455">
        <f t="shared" si="0"/>
        <v>5.8839558043407448E-3</v>
      </c>
      <c r="E22" s="456">
        <v>173.850492</v>
      </c>
      <c r="F22" s="738">
        <f t="shared" si="1"/>
        <v>0.58839558043407447</v>
      </c>
      <c r="G22" s="2172" t="s">
        <v>64</v>
      </c>
      <c r="H22" s="742">
        <f t="shared" si="2"/>
        <v>3.6839145106861643E-3</v>
      </c>
      <c r="I22" s="744">
        <v>131</v>
      </c>
      <c r="J22" s="744">
        <v>275</v>
      </c>
      <c r="K22" s="745">
        <v>2.1</v>
      </c>
      <c r="L22" s="741"/>
      <c r="M22" s="749" t="s">
        <v>722</v>
      </c>
      <c r="N22" s="750">
        <f t="shared" si="3"/>
        <v>2.9838625067202733E-3</v>
      </c>
      <c r="O22" s="3657">
        <v>103.97578</v>
      </c>
      <c r="P22" s="3657">
        <v>207.95156</v>
      </c>
      <c r="Q22" s="751">
        <v>2</v>
      </c>
      <c r="R22" s="741"/>
      <c r="S22" s="741"/>
      <c r="T22" s="754">
        <f t="shared" si="4"/>
        <v>2405.2719910011251</v>
      </c>
    </row>
    <row r="23" spans="3:27">
      <c r="C23" s="454" t="s">
        <v>65</v>
      </c>
      <c r="D23" s="455">
        <f t="shared" si="0"/>
        <v>6.5506960701293944E-3</v>
      </c>
      <c r="E23" s="456">
        <v>193.550355</v>
      </c>
      <c r="F23" s="738">
        <f t="shared" si="1"/>
        <v>0.65506960701293948</v>
      </c>
      <c r="G23" s="753" t="s">
        <v>58</v>
      </c>
      <c r="H23" s="742">
        <f t="shared" si="2"/>
        <v>2.5590551181102362E-3</v>
      </c>
      <c r="I23" s="744">
        <v>91</v>
      </c>
      <c r="J23" s="744">
        <v>43</v>
      </c>
      <c r="K23" s="745">
        <v>0</v>
      </c>
      <c r="L23" s="741"/>
      <c r="M23" s="746" t="s">
        <v>404</v>
      </c>
      <c r="N23" s="747">
        <f t="shared" si="3"/>
        <v>2.9813041095389861E-3</v>
      </c>
      <c r="O23" s="3655">
        <v>103.88663</v>
      </c>
      <c r="P23" s="3656">
        <v>2600.4627800000003</v>
      </c>
      <c r="Q23" s="748">
        <v>25.031736807710484</v>
      </c>
      <c r="R23" s="741"/>
      <c r="S23" s="741"/>
      <c r="T23" s="754">
        <f t="shared" si="4"/>
        <v>1670.8377952755905</v>
      </c>
    </row>
    <row r="24" spans="3:27">
      <c r="C24" s="454" t="s">
        <v>56</v>
      </c>
      <c r="D24" s="455">
        <f t="shared" si="0"/>
        <v>4.7773730306279686E-3</v>
      </c>
      <c r="E24" s="456">
        <v>141.154808</v>
      </c>
      <c r="F24" s="738">
        <f t="shared" si="1"/>
        <v>0.47773730306279688</v>
      </c>
      <c r="G24" s="2172" t="s">
        <v>55</v>
      </c>
      <c r="H24" s="742">
        <f t="shared" si="2"/>
        <v>2.530933633295838E-3</v>
      </c>
      <c r="I24" s="744">
        <v>90</v>
      </c>
      <c r="J24" s="744">
        <v>1466</v>
      </c>
      <c r="K24" s="745">
        <v>16.34</v>
      </c>
      <c r="L24" s="741"/>
      <c r="M24" s="746" t="s">
        <v>334</v>
      </c>
      <c r="N24" s="747">
        <f t="shared" si="3"/>
        <v>2.7203570672784498E-3</v>
      </c>
      <c r="O24" s="3655">
        <v>94.793660000000003</v>
      </c>
      <c r="P24" s="3656">
        <v>94.793660000000003</v>
      </c>
      <c r="Q24" s="748">
        <v>1</v>
      </c>
      <c r="R24" s="741"/>
      <c r="S24" s="741"/>
      <c r="T24" s="754">
        <f t="shared" si="4"/>
        <v>1652.4769403824523</v>
      </c>
    </row>
    <row r="25" spans="3:27">
      <c r="C25" s="654" t="s">
        <v>63</v>
      </c>
      <c r="D25" s="655">
        <f t="shared" si="0"/>
        <v>3.1488358466333849E-3</v>
      </c>
      <c r="E25" s="656">
        <v>93.037181000000004</v>
      </c>
      <c r="F25" s="739">
        <f t="shared" si="1"/>
        <v>0.31488358466333849</v>
      </c>
      <c r="G25" s="2172" t="s">
        <v>62</v>
      </c>
      <c r="H25" s="742">
        <f t="shared" si="2"/>
        <v>2.4465691788526436E-3</v>
      </c>
      <c r="I25" s="744">
        <v>87</v>
      </c>
      <c r="J25" s="744">
        <v>303</v>
      </c>
      <c r="K25" s="745">
        <v>3.5</v>
      </c>
      <c r="L25" s="741"/>
      <c r="M25" s="746" t="s">
        <v>67</v>
      </c>
      <c r="N25" s="747">
        <f t="shared" si="3"/>
        <v>2.4996255033128819E-3</v>
      </c>
      <c r="O25" s="3655">
        <v>87.102040000000002</v>
      </c>
      <c r="P25" s="3656">
        <v>178.93876</v>
      </c>
      <c r="Q25" s="748">
        <v>2.5</v>
      </c>
      <c r="R25" s="741"/>
      <c r="S25" s="741"/>
      <c r="T25" s="754">
        <f t="shared" si="4"/>
        <v>1597.3943757030372</v>
      </c>
    </row>
    <row r="26" spans="3:27">
      <c r="C26" s="454" t="s">
        <v>62</v>
      </c>
      <c r="D26" s="455">
        <f t="shared" si="0"/>
        <v>2.3607918377519825E-3</v>
      </c>
      <c r="E26" s="456">
        <v>69.753213000000002</v>
      </c>
      <c r="F26" s="738">
        <f t="shared" si="1"/>
        <v>0.23607918377519824</v>
      </c>
      <c r="G26" s="753" t="s">
        <v>405</v>
      </c>
      <c r="H26" s="742">
        <f t="shared" si="2"/>
        <v>2.2778402699662544E-3</v>
      </c>
      <c r="I26" s="744">
        <v>81</v>
      </c>
      <c r="J26" s="744">
        <v>33</v>
      </c>
      <c r="K26" s="745">
        <v>0</v>
      </c>
      <c r="L26" s="741"/>
      <c r="M26" s="746" t="s">
        <v>117</v>
      </c>
      <c r="N26" s="747">
        <f t="shared" si="3"/>
        <v>1.6211255758997614E-3</v>
      </c>
      <c r="O26" s="3655">
        <v>56.489800000000002</v>
      </c>
      <c r="P26" s="3656">
        <v>56.489800000000002</v>
      </c>
      <c r="Q26" s="748">
        <v>1</v>
      </c>
      <c r="R26" s="741"/>
      <c r="S26" s="741"/>
      <c r="T26" s="754">
        <f t="shared" si="4"/>
        <v>1487.229246344207</v>
      </c>
    </row>
    <row r="27" spans="3:27" ht="15" customHeight="1">
      <c r="C27" s="454" t="s">
        <v>335</v>
      </c>
      <c r="D27" s="455">
        <f t="shared" si="0"/>
        <v>2.3607918377519825E-3</v>
      </c>
      <c r="E27" s="456">
        <v>69.753213000000002</v>
      </c>
      <c r="F27" s="738">
        <f t="shared" si="1"/>
        <v>0.23607918377519824</v>
      </c>
      <c r="G27" s="753" t="s">
        <v>402</v>
      </c>
      <c r="H27" s="742">
        <f t="shared" si="2"/>
        <v>1.9403824521934759E-3</v>
      </c>
      <c r="I27" s="743">
        <v>69</v>
      </c>
      <c r="J27" s="743">
        <v>174</v>
      </c>
      <c r="K27" s="745">
        <v>2.5299999999999998</v>
      </c>
      <c r="L27" s="741"/>
      <c r="M27" s="746" t="s">
        <v>723</v>
      </c>
      <c r="N27" s="747">
        <f t="shared" si="3"/>
        <v>2.1651481459230054E-3</v>
      </c>
      <c r="O27" s="3655">
        <v>75.446830000000006</v>
      </c>
      <c r="P27" s="3656">
        <v>861.84611000000018</v>
      </c>
      <c r="Q27" s="748">
        <v>11.423224938675357</v>
      </c>
      <c r="R27" s="741"/>
      <c r="S27" s="741"/>
      <c r="T27" s="754">
        <f t="shared" si="4"/>
        <v>1266.8989876265466</v>
      </c>
    </row>
    <row r="28" spans="3:27">
      <c r="C28" s="454" t="s">
        <v>66</v>
      </c>
      <c r="D28" s="455">
        <f t="shared" si="0"/>
        <v>1.4123986243170443E-3</v>
      </c>
      <c r="E28" s="456">
        <v>41.731482</v>
      </c>
      <c r="F28" s="738">
        <f t="shared" si="1"/>
        <v>0.14123986243170442</v>
      </c>
      <c r="G28" s="753" t="s">
        <v>63</v>
      </c>
      <c r="H28" s="742">
        <f t="shared" si="2"/>
        <v>1.8841394825646794E-3</v>
      </c>
      <c r="I28" s="744">
        <v>67</v>
      </c>
      <c r="J28" s="744">
        <v>41</v>
      </c>
      <c r="K28" s="745">
        <v>0</v>
      </c>
      <c r="L28" s="741"/>
      <c r="M28" s="746" t="s">
        <v>59</v>
      </c>
      <c r="N28" s="747">
        <f t="shared" si="3"/>
        <v>1.6125883063825312E-3</v>
      </c>
      <c r="O28" s="3655">
        <v>56.192309999999999</v>
      </c>
      <c r="P28" s="3656">
        <v>112.38462</v>
      </c>
      <c r="Q28" s="748">
        <v>2</v>
      </c>
      <c r="R28" s="741"/>
      <c r="S28" s="741"/>
      <c r="T28" s="754">
        <f t="shared" si="4"/>
        <v>1230.1772778402699</v>
      </c>
    </row>
    <row r="29" spans="3:27">
      <c r="C29" s="454" t="s">
        <v>64</v>
      </c>
      <c r="D29" s="455">
        <f t="shared" si="0"/>
        <v>3.4728744446326804E-3</v>
      </c>
      <c r="E29" s="456">
        <v>102.61139799999999</v>
      </c>
      <c r="F29" s="738">
        <f t="shared" si="1"/>
        <v>0.34728744446326804</v>
      </c>
      <c r="G29" s="753" t="s">
        <v>57</v>
      </c>
      <c r="H29" s="742">
        <f t="shared" si="2"/>
        <v>1.3779527559055118E-3</v>
      </c>
      <c r="I29" s="744">
        <v>49</v>
      </c>
      <c r="J29" s="743">
        <v>0</v>
      </c>
      <c r="K29" s="745">
        <v>0</v>
      </c>
      <c r="L29" s="741"/>
      <c r="M29" s="746" t="s">
        <v>337</v>
      </c>
      <c r="N29" s="747">
        <f t="shared" si="3"/>
        <v>1.3601785336392249E-3</v>
      </c>
      <c r="O29" s="3655">
        <v>47.396830000000001</v>
      </c>
      <c r="P29" s="3656">
        <v>142.19048999999998</v>
      </c>
      <c r="Q29" s="748">
        <v>3</v>
      </c>
      <c r="R29" s="741"/>
      <c r="S29" s="741"/>
      <c r="T29" s="754">
        <f t="shared" si="4"/>
        <v>899.68188976377951</v>
      </c>
    </row>
    <row r="30" spans="3:27">
      <c r="C30" s="454" t="s">
        <v>59</v>
      </c>
      <c r="D30" s="455">
        <f t="shared" si="0"/>
        <v>2.6425579628071086E-3</v>
      </c>
      <c r="E30" s="456">
        <v>78.078424999999996</v>
      </c>
      <c r="F30" s="738">
        <f t="shared" si="1"/>
        <v>0.26425579628071083</v>
      </c>
      <c r="G30" s="753" t="s">
        <v>337</v>
      </c>
      <c r="H30" s="742">
        <f t="shared" si="2"/>
        <v>1.3779527559055118E-3</v>
      </c>
      <c r="I30" s="744">
        <v>49</v>
      </c>
      <c r="J30" s="744">
        <v>0</v>
      </c>
      <c r="K30" s="745">
        <v>0</v>
      </c>
      <c r="L30" s="741"/>
      <c r="M30" s="746" t="s">
        <v>724</v>
      </c>
      <c r="N30" s="747">
        <f t="shared" si="3"/>
        <v>1.3601785336392249E-3</v>
      </c>
      <c r="O30" s="3655">
        <v>47.396830000000001</v>
      </c>
      <c r="P30" s="3656">
        <v>189.58732000000001</v>
      </c>
      <c r="Q30" s="748">
        <v>4</v>
      </c>
      <c r="R30" s="741"/>
      <c r="S30" s="741"/>
      <c r="T30" s="754">
        <f t="shared" si="4"/>
        <v>899.68188976377951</v>
      </c>
      <c r="W30" s="5794" t="s">
        <v>406</v>
      </c>
      <c r="X30" s="5794"/>
      <c r="Y30" s="5794"/>
      <c r="Z30" s="5794"/>
      <c r="AA30" s="5794"/>
    </row>
    <row r="31" spans="3:27">
      <c r="C31" s="454" t="s">
        <v>67</v>
      </c>
      <c r="D31" s="455">
        <f t="shared" si="0"/>
        <v>6.2435461543564204E-4</v>
      </c>
      <c r="E31" s="456">
        <v>18.447514000000002</v>
      </c>
      <c r="F31" s="738">
        <f t="shared" si="1"/>
        <v>6.2435461543564205E-2</v>
      </c>
      <c r="G31" s="753" t="s">
        <v>404</v>
      </c>
      <c r="H31" s="742">
        <f t="shared" si="2"/>
        <v>1.3779527559055118E-3</v>
      </c>
      <c r="I31" s="744">
        <v>49</v>
      </c>
      <c r="J31" s="744">
        <v>49</v>
      </c>
      <c r="K31" s="745">
        <v>1</v>
      </c>
      <c r="L31" s="741"/>
      <c r="M31" s="746" t="s">
        <v>335</v>
      </c>
      <c r="N31" s="747">
        <f t="shared" si="3"/>
        <v>8.7849992741312073E-4</v>
      </c>
      <c r="O31" s="3655">
        <v>30.61224</v>
      </c>
      <c r="P31" s="3656">
        <v>30.61224</v>
      </c>
      <c r="Q31" s="748">
        <v>1</v>
      </c>
      <c r="R31" s="741"/>
      <c r="S31" s="741"/>
      <c r="T31" s="754">
        <f t="shared" si="4"/>
        <v>899.68188976377951</v>
      </c>
      <c r="W31" s="5794"/>
      <c r="X31" s="5794"/>
      <c r="Y31" s="5794"/>
      <c r="Z31" s="5794"/>
      <c r="AA31" s="5794"/>
    </row>
    <row r="32" spans="3:27">
      <c r="C32" s="454" t="s">
        <v>344</v>
      </c>
      <c r="D32" s="455">
        <f t="shared" si="0"/>
        <v>6.2435461543564204E-4</v>
      </c>
      <c r="E32" s="456">
        <v>18.447514000000002</v>
      </c>
      <c r="F32" s="738">
        <f t="shared" si="1"/>
        <v>6.2435461543564205E-2</v>
      </c>
      <c r="G32" s="753" t="s">
        <v>65</v>
      </c>
      <c r="H32" s="742">
        <f t="shared" si="2"/>
        <v>1.3498312710911137E-3</v>
      </c>
      <c r="I32" s="744">
        <v>48</v>
      </c>
      <c r="J32" s="744">
        <v>48</v>
      </c>
      <c r="K32" s="745">
        <v>1</v>
      </c>
      <c r="L32" s="741"/>
      <c r="M32" s="746" t="s">
        <v>725</v>
      </c>
      <c r="N32" s="747">
        <f t="shared" si="3"/>
        <v>8.0496961228378053E-4</v>
      </c>
      <c r="O32" s="3655">
        <v>28.05</v>
      </c>
      <c r="P32" s="3656">
        <v>28.05</v>
      </c>
      <c r="Q32" s="748">
        <v>1</v>
      </c>
      <c r="R32" s="741"/>
      <c r="S32" s="741"/>
      <c r="T32" s="754">
        <f t="shared" si="4"/>
        <v>881.32103487064114</v>
      </c>
      <c r="W32" s="2119"/>
      <c r="X32" s="2119"/>
      <c r="Y32" s="2119"/>
      <c r="Z32" s="2119"/>
      <c r="AA32" s="2119"/>
    </row>
    <row r="33" spans="3:27">
      <c r="C33" s="454" t="s">
        <v>336</v>
      </c>
      <c r="D33" s="455">
        <f t="shared" si="0"/>
        <v>7.0619931215852214E-4</v>
      </c>
      <c r="E33" s="456">
        <v>20.865741</v>
      </c>
      <c r="F33" s="738">
        <f t="shared" si="1"/>
        <v>7.0619931215852208E-2</v>
      </c>
      <c r="G33" s="753" t="s">
        <v>66</v>
      </c>
      <c r="H33" s="742">
        <f t="shared" si="2"/>
        <v>9.8425196850393699E-4</v>
      </c>
      <c r="I33" s="744">
        <v>35</v>
      </c>
      <c r="J33" s="744">
        <v>0</v>
      </c>
      <c r="K33" s="745">
        <v>0</v>
      </c>
      <c r="L33" s="741"/>
      <c r="M33" s="746" t="s">
        <v>726</v>
      </c>
      <c r="N33" s="747">
        <f t="shared" si="3"/>
        <v>7.7971021110602424E-4</v>
      </c>
      <c r="O33" s="3655">
        <v>27.169809999999998</v>
      </c>
      <c r="P33" s="3656">
        <v>27.169809999999995</v>
      </c>
      <c r="Q33" s="748">
        <v>1</v>
      </c>
      <c r="R33" s="741"/>
      <c r="S33" s="741"/>
      <c r="T33" s="754">
        <f t="shared" si="4"/>
        <v>642.62992125984249</v>
      </c>
      <c r="W33" s="5794" t="s">
        <v>407</v>
      </c>
      <c r="X33" s="5794"/>
      <c r="Y33" s="5794"/>
      <c r="Z33" s="5794"/>
      <c r="AA33" s="5794"/>
    </row>
    <row r="34" spans="3:27">
      <c r="C34" s="454" t="s">
        <v>54</v>
      </c>
      <c r="D34" s="455">
        <f t="shared" si="0"/>
        <v>8.6477219998794405E-4</v>
      </c>
      <c r="E34" s="456">
        <v>25.551020000000001</v>
      </c>
      <c r="F34" s="738">
        <f t="shared" si="1"/>
        <v>8.6477219998794402E-2</v>
      </c>
      <c r="G34" s="753" t="s">
        <v>403</v>
      </c>
      <c r="H34" s="742">
        <f t="shared" si="2"/>
        <v>4.7806524184476943E-4</v>
      </c>
      <c r="I34" s="744">
        <v>17</v>
      </c>
      <c r="J34" s="744">
        <v>152</v>
      </c>
      <c r="K34" s="745">
        <v>9</v>
      </c>
      <c r="L34" s="741"/>
      <c r="M34" s="746" t="s">
        <v>61</v>
      </c>
      <c r="N34" s="747">
        <f t="shared" si="3"/>
        <v>7.7971021110602424E-4</v>
      </c>
      <c r="O34" s="3655">
        <v>27.169809999999998</v>
      </c>
      <c r="P34" s="3656">
        <v>108.67923999999998</v>
      </c>
      <c r="Q34" s="748">
        <v>4</v>
      </c>
      <c r="R34" s="741"/>
      <c r="S34" s="741"/>
      <c r="T34" s="754">
        <f t="shared" si="4"/>
        <v>312.13453318335212</v>
      </c>
      <c r="W34" s="5794"/>
      <c r="X34" s="5794"/>
      <c r="Y34" s="5794"/>
      <c r="Z34" s="5794"/>
      <c r="AA34" s="5794"/>
    </row>
    <row r="35" spans="3:27">
      <c r="G35" s="753" t="s">
        <v>333</v>
      </c>
      <c r="H35" s="742">
        <f t="shared" si="2"/>
        <v>4.7806524184476943E-4</v>
      </c>
      <c r="I35" s="744">
        <v>17</v>
      </c>
      <c r="J35" s="744">
        <v>0</v>
      </c>
      <c r="K35" s="745">
        <v>0</v>
      </c>
      <c r="L35" s="741"/>
      <c r="M35" s="746" t="s">
        <v>65</v>
      </c>
      <c r="N35" s="747">
        <f t="shared" si="3"/>
        <v>7.7971021110602424E-4</v>
      </c>
      <c r="O35" s="3655">
        <v>27.169809999999998</v>
      </c>
      <c r="P35" s="3656">
        <v>27.169809999999995</v>
      </c>
      <c r="Q35" s="748">
        <v>1</v>
      </c>
      <c r="R35" s="741"/>
      <c r="S35" s="741"/>
      <c r="T35" s="754">
        <f t="shared" si="4"/>
        <v>312.13453318335212</v>
      </c>
    </row>
    <row r="36" spans="3:27" ht="15" thickBot="1">
      <c r="C36" s="457" t="s">
        <v>53</v>
      </c>
      <c r="D36" s="458">
        <f>E36/$E$36</f>
        <v>1</v>
      </c>
      <c r="E36" s="459">
        <v>29546.532601714316</v>
      </c>
      <c r="F36" s="740">
        <f>+E36/$E$36*100</f>
        <v>100</v>
      </c>
      <c r="G36" s="755" t="s">
        <v>53</v>
      </c>
      <c r="H36" s="756"/>
      <c r="I36" s="757">
        <v>35560</v>
      </c>
      <c r="J36" s="757">
        <v>8791</v>
      </c>
      <c r="K36" s="758">
        <v>0</v>
      </c>
      <c r="L36" s="759"/>
      <c r="M36" s="760" t="s">
        <v>53</v>
      </c>
      <c r="N36" s="761">
        <f t="shared" si="3"/>
        <v>1</v>
      </c>
      <c r="O36" s="762">
        <f>SUM(O12:O35)</f>
        <v>34846.035889999999</v>
      </c>
      <c r="P36" s="763">
        <f>SUM(P12:P35)</f>
        <v>22888.832080000004</v>
      </c>
      <c r="Q36" s="764">
        <v>5.2977286583752106</v>
      </c>
      <c r="R36" s="759"/>
      <c r="S36" s="759"/>
      <c r="T36" s="765"/>
    </row>
    <row r="37" spans="3:27" s="425" customFormat="1" ht="38.25" customHeight="1" thickTop="1">
      <c r="C37" s="782"/>
      <c r="D37" s="782"/>
      <c r="E37" s="783"/>
      <c r="F37" s="783"/>
    </row>
    <row r="38" spans="3:27" s="425" customFormat="1" ht="38.25" customHeight="1">
      <c r="C38" s="782"/>
      <c r="D38" s="782"/>
      <c r="E38" s="783"/>
      <c r="F38" s="783"/>
      <c r="G38" s="2175" t="s">
        <v>1400</v>
      </c>
      <c r="H38" s="2176">
        <f>SUM(H14,H15,H16,H17,H19,H23,H26:H35)</f>
        <v>7.6434195725534296E-2</v>
      </c>
    </row>
    <row r="41" spans="3:27">
      <c r="C41" s="203" t="s">
        <v>392</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33" orientation="landscape"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1" customWidth="1"/>
    <col min="2" max="4" width="11.6640625" style="421" customWidth="1"/>
    <col min="5" max="5" width="10.33203125" style="421" customWidth="1"/>
    <col min="6" max="16384" width="11.44140625" style="421"/>
  </cols>
  <sheetData>
    <row r="3" spans="1:5" s="498" customFormat="1" ht="17.399999999999999">
      <c r="A3" s="495" t="s">
        <v>396</v>
      </c>
    </row>
    <row r="5" spans="1:5" ht="15.6">
      <c r="A5" s="422" t="s">
        <v>345</v>
      </c>
    </row>
    <row r="6" spans="1:5">
      <c r="A6" s="421" t="s">
        <v>346</v>
      </c>
    </row>
    <row r="7" spans="1:5">
      <c r="A7" s="424" t="s">
        <v>408</v>
      </c>
    </row>
    <row r="9" spans="1:5" ht="24">
      <c r="A9" s="426" t="s">
        <v>205</v>
      </c>
      <c r="B9" s="427" t="s">
        <v>347</v>
      </c>
      <c r="C9" s="426" t="s">
        <v>348</v>
      </c>
      <c r="D9" s="426" t="s">
        <v>349</v>
      </c>
      <c r="E9" s="426" t="s">
        <v>409</v>
      </c>
    </row>
    <row r="10" spans="1:5">
      <c r="A10" s="428" t="s">
        <v>204</v>
      </c>
      <c r="B10" s="429">
        <v>47195.998269999654</v>
      </c>
      <c r="C10" s="429">
        <v>506498</v>
      </c>
      <c r="D10" s="430">
        <v>10.731799698407009</v>
      </c>
      <c r="E10" s="431">
        <v>44.168012283292576</v>
      </c>
    </row>
    <row r="11" spans="1:5">
      <c r="A11" s="428" t="s">
        <v>410</v>
      </c>
      <c r="B11" s="429">
        <v>59659.61018999997</v>
      </c>
      <c r="C11" s="429">
        <v>380123.04319999984</v>
      </c>
      <c r="D11" s="430">
        <v>6.3715307892460107</v>
      </c>
      <c r="E11" s="431">
        <v>55.831987716707424</v>
      </c>
    </row>
    <row r="12" spans="1:5">
      <c r="A12" s="432" t="s">
        <v>411</v>
      </c>
      <c r="B12" s="433">
        <v>6558.4625199999982</v>
      </c>
      <c r="C12" s="434">
        <v>21303.475259999999</v>
      </c>
      <c r="D12" s="435">
        <v>3.7587873448954618</v>
      </c>
      <c r="E12" s="431">
        <v>6.1376867480522517</v>
      </c>
    </row>
    <row r="13" spans="1:5">
      <c r="A13" s="432" t="s">
        <v>357</v>
      </c>
      <c r="B13" s="433">
        <v>5993.069529999997</v>
      </c>
      <c r="C13" s="434">
        <v>52096.034659999983</v>
      </c>
      <c r="D13" s="435">
        <v>5.8520751213559308</v>
      </c>
      <c r="E13" s="431">
        <v>5.6085680633632302</v>
      </c>
    </row>
    <row r="14" spans="1:5">
      <c r="A14" s="432" t="s">
        <v>350</v>
      </c>
      <c r="B14" s="433">
        <v>5524.7786599999972</v>
      </c>
      <c r="C14" s="434">
        <v>36485.286509999991</v>
      </c>
      <c r="D14" s="435">
        <v>4.4200010335857138</v>
      </c>
      <c r="E14" s="431">
        <v>5.170321651453742</v>
      </c>
    </row>
    <row r="15" spans="1:5">
      <c r="A15" s="432" t="s">
        <v>365</v>
      </c>
      <c r="B15" s="436">
        <v>4375.9498100000001</v>
      </c>
      <c r="C15" s="437">
        <v>28883.801839999996</v>
      </c>
      <c r="D15" s="438">
        <v>4.7707455611606848</v>
      </c>
      <c r="E15" s="431">
        <v>4.095199000844298</v>
      </c>
    </row>
    <row r="16" spans="1:5">
      <c r="A16" s="3678" t="s">
        <v>358</v>
      </c>
      <c r="B16" s="436">
        <v>3471.8460299999983</v>
      </c>
      <c r="C16" s="437">
        <v>24344.763639999994</v>
      </c>
      <c r="D16" s="438">
        <v>5.3503161460263629</v>
      </c>
      <c r="E16" s="3679">
        <v>3.2491004263006475</v>
      </c>
    </row>
    <row r="17" spans="1:5">
      <c r="A17" s="432" t="s">
        <v>363</v>
      </c>
      <c r="B17" s="436">
        <v>2778.0834499999996</v>
      </c>
      <c r="C17" s="437">
        <v>11282.860129999997</v>
      </c>
      <c r="D17" s="438">
        <v>3.5084819777984069</v>
      </c>
      <c r="E17" s="431">
        <v>2.5998480473207435</v>
      </c>
    </row>
    <row r="18" spans="1:5">
      <c r="A18" s="432" t="s">
        <v>353</v>
      </c>
      <c r="B18" s="436">
        <v>2540.8164300000003</v>
      </c>
      <c r="C18" s="437">
        <v>10906.373589999999</v>
      </c>
      <c r="D18" s="438">
        <v>3.8688493046895154</v>
      </c>
      <c r="E18" s="431">
        <v>2.3778035300328955</v>
      </c>
    </row>
    <row r="19" spans="1:5">
      <c r="A19" s="432" t="s">
        <v>351</v>
      </c>
      <c r="B19" s="433">
        <v>2216.6014600000003</v>
      </c>
      <c r="C19" s="434">
        <v>19998.448090000002</v>
      </c>
      <c r="D19" s="435">
        <v>7.7564621295111884</v>
      </c>
      <c r="E19" s="431">
        <v>2.0743894419259838</v>
      </c>
    </row>
    <row r="20" spans="1:5">
      <c r="A20" s="432" t="s">
        <v>359</v>
      </c>
      <c r="B20" s="433">
        <v>2015.1596299999999</v>
      </c>
      <c r="C20" s="434">
        <v>9065.4973299999983</v>
      </c>
      <c r="D20" s="435">
        <v>4.0388136648153488</v>
      </c>
      <c r="E20" s="431">
        <v>1.8858716533857516</v>
      </c>
    </row>
    <row r="21" spans="1:5">
      <c r="A21" s="432" t="s">
        <v>356</v>
      </c>
      <c r="B21" s="433">
        <v>2013.0848300000002</v>
      </c>
      <c r="C21" s="434">
        <v>5787.3167299999996</v>
      </c>
      <c r="D21" s="435">
        <v>2.8787547643414757</v>
      </c>
      <c r="E21" s="431">
        <v>1.8839299677504333</v>
      </c>
    </row>
    <row r="22" spans="1:5">
      <c r="A22" s="432" t="s">
        <v>361</v>
      </c>
      <c r="B22" s="433">
        <v>1943.8291000000002</v>
      </c>
      <c r="C22" s="434">
        <v>12293.13077</v>
      </c>
      <c r="D22" s="435">
        <v>4.0892742978646393</v>
      </c>
      <c r="E22" s="431">
        <v>1.8191175250549942</v>
      </c>
    </row>
    <row r="23" spans="1:5">
      <c r="A23" s="432" t="s">
        <v>360</v>
      </c>
      <c r="B23" s="433">
        <v>1876.1559199999999</v>
      </c>
      <c r="C23" s="434">
        <v>15159.202720000001</v>
      </c>
      <c r="D23" s="435">
        <v>5.058862564336513</v>
      </c>
      <c r="E23" s="431">
        <v>1.7557860996152777</v>
      </c>
    </row>
    <row r="24" spans="1:5">
      <c r="A24" s="432" t="s">
        <v>355</v>
      </c>
      <c r="B24" s="436">
        <v>1854.0026399999999</v>
      </c>
      <c r="C24" s="437">
        <v>13816.270349999999</v>
      </c>
      <c r="D24" s="438">
        <v>7.5528944303423771</v>
      </c>
      <c r="E24" s="431">
        <v>1.7350541227735632</v>
      </c>
    </row>
    <row r="25" spans="1:5">
      <c r="A25" s="432" t="s">
        <v>352</v>
      </c>
      <c r="B25" s="433">
        <v>1638.3375800000001</v>
      </c>
      <c r="C25" s="434">
        <v>12225.291030000002</v>
      </c>
      <c r="D25" s="435">
        <v>5.3579524530923202</v>
      </c>
      <c r="E25" s="431">
        <v>1.5332256337422814</v>
      </c>
    </row>
    <row r="26" spans="1:5">
      <c r="A26" s="432" t="s">
        <v>51</v>
      </c>
      <c r="B26" s="433">
        <v>1613.3193300000003</v>
      </c>
      <c r="C26" s="434">
        <v>10337.560840000002</v>
      </c>
      <c r="D26" s="435">
        <v>5.1074958354206723</v>
      </c>
      <c r="E26" s="431">
        <v>1.5098124967431454</v>
      </c>
    </row>
    <row r="27" spans="1:5">
      <c r="A27" s="432" t="s">
        <v>372</v>
      </c>
      <c r="B27" s="433">
        <v>1379.2604700000002</v>
      </c>
      <c r="C27" s="434">
        <v>10374.379439999997</v>
      </c>
      <c r="D27" s="435">
        <v>4.9828712308828438</v>
      </c>
      <c r="E27" s="431">
        <v>1.290770311336829</v>
      </c>
    </row>
    <row r="28" spans="1:5">
      <c r="A28" s="432" t="s">
        <v>413</v>
      </c>
      <c r="B28" s="433">
        <v>1215.5427099999999</v>
      </c>
      <c r="C28" s="434">
        <v>8965.7642200000009</v>
      </c>
      <c r="D28" s="435">
        <v>7.7205986705319383</v>
      </c>
      <c r="E28" s="431">
        <v>1.1375563037994647</v>
      </c>
    </row>
    <row r="29" spans="1:5">
      <c r="A29" s="432" t="s">
        <v>354</v>
      </c>
      <c r="B29" s="433">
        <v>1094.2240000000002</v>
      </c>
      <c r="C29" s="434">
        <v>5582.8043800000005</v>
      </c>
      <c r="D29" s="435">
        <v>4.3858435449405313</v>
      </c>
      <c r="E29" s="431">
        <v>1.0240211213710999</v>
      </c>
    </row>
    <row r="30" spans="1:5">
      <c r="A30" s="432" t="s">
        <v>414</v>
      </c>
      <c r="B30" s="436">
        <v>884.62934000000018</v>
      </c>
      <c r="C30" s="437">
        <v>7372.0653800000018</v>
      </c>
      <c r="D30" s="438">
        <v>4.8925189582369857</v>
      </c>
      <c r="E30" s="431">
        <v>0.82787356952925184</v>
      </c>
    </row>
    <row r="31" spans="1:5">
      <c r="A31" s="432" t="s">
        <v>415</v>
      </c>
      <c r="B31" s="433">
        <v>857.76254000000006</v>
      </c>
      <c r="C31" s="434">
        <v>3380.5369599999999</v>
      </c>
      <c r="D31" s="435">
        <v>3.9411105082765676</v>
      </c>
      <c r="E31" s="431">
        <v>0.80273048121858315</v>
      </c>
    </row>
    <row r="32" spans="1:5">
      <c r="A32" s="3678" t="s">
        <v>412</v>
      </c>
      <c r="B32" s="433">
        <v>658.92244999999991</v>
      </c>
      <c r="C32" s="434">
        <v>4779.6891899999991</v>
      </c>
      <c r="D32" s="435">
        <v>4.866888754706733</v>
      </c>
      <c r="E32" s="3679">
        <v>0.61664751106317572</v>
      </c>
    </row>
    <row r="33" spans="1:5">
      <c r="A33" s="432" t="s">
        <v>364</v>
      </c>
      <c r="B33" s="433">
        <v>638.86275999999998</v>
      </c>
      <c r="C33" s="434">
        <v>1863.12527</v>
      </c>
      <c r="D33" s="435">
        <v>2.8574122890472706</v>
      </c>
      <c r="E33" s="431">
        <v>0.59787480433388029</v>
      </c>
    </row>
    <row r="34" spans="1:5">
      <c r="A34" s="432" t="s">
        <v>416</v>
      </c>
      <c r="B34" s="436">
        <v>558.92277999999999</v>
      </c>
      <c r="C34" s="437">
        <v>2173.79745</v>
      </c>
      <c r="D34" s="438">
        <v>3.5139095197388057</v>
      </c>
      <c r="E34" s="431">
        <v>0.52306358838359657</v>
      </c>
    </row>
    <row r="35" spans="1:5">
      <c r="A35" s="432" t="s">
        <v>380</v>
      </c>
      <c r="B35" s="436">
        <v>547.84866</v>
      </c>
      <c r="C35" s="437">
        <v>6188.0057699999998</v>
      </c>
      <c r="D35" s="438">
        <v>8.8935186106835946</v>
      </c>
      <c r="E35" s="431">
        <v>0.5126999582853734</v>
      </c>
    </row>
    <row r="36" spans="1:5">
      <c r="A36" s="432" t="s">
        <v>417</v>
      </c>
      <c r="B36" s="433">
        <v>546.66314</v>
      </c>
      <c r="C36" s="434">
        <v>4849.0818300000001</v>
      </c>
      <c r="D36" s="435">
        <v>7.1830168776521859</v>
      </c>
      <c r="E36" s="431">
        <v>0.51159049850400518</v>
      </c>
    </row>
    <row r="37" spans="1:5">
      <c r="A37" s="432" t="s">
        <v>64</v>
      </c>
      <c r="B37" s="436">
        <v>461.54412000000002</v>
      </c>
      <c r="C37" s="437">
        <v>4241.4395699999995</v>
      </c>
      <c r="D37" s="438">
        <v>4.7294521743388662</v>
      </c>
      <c r="E37" s="431">
        <v>0.4319325177702531</v>
      </c>
    </row>
    <row r="38" spans="1:5">
      <c r="A38" s="432" t="s">
        <v>418</v>
      </c>
      <c r="B38" s="436">
        <v>438.94331000000005</v>
      </c>
      <c r="C38" s="437">
        <v>3011.1733600000007</v>
      </c>
      <c r="D38" s="438">
        <v>5.8284972907630408</v>
      </c>
      <c r="E38" s="431">
        <v>0.4107817234172732</v>
      </c>
    </row>
    <row r="39" spans="1:5">
      <c r="A39" s="432" t="s">
        <v>419</v>
      </c>
      <c r="B39" s="436">
        <v>325.11804000000001</v>
      </c>
      <c r="C39" s="437">
        <v>3614.3173399999996</v>
      </c>
      <c r="D39" s="438">
        <v>10.066914460430539</v>
      </c>
      <c r="E39" s="431">
        <v>0.30425921922638699</v>
      </c>
    </row>
    <row r="40" spans="1:5">
      <c r="A40" s="432" t="s">
        <v>420</v>
      </c>
      <c r="B40" s="436">
        <v>309.51191</v>
      </c>
      <c r="C40" s="437">
        <v>1145.6905000000002</v>
      </c>
      <c r="D40" s="438">
        <v>3</v>
      </c>
      <c r="E40" s="431">
        <v>0.28965434239781884</v>
      </c>
    </row>
    <row r="41" spans="1:5">
      <c r="A41" s="432" t="s">
        <v>377</v>
      </c>
      <c r="B41" s="436">
        <v>239.34573</v>
      </c>
      <c r="C41" s="437">
        <v>2270.9151399999996</v>
      </c>
      <c r="D41" s="438">
        <v>7.4963038697432118</v>
      </c>
      <c r="E41" s="431">
        <v>0.22398986206661936</v>
      </c>
    </row>
    <row r="42" spans="1:5">
      <c r="A42" s="432" t="s">
        <v>369</v>
      </c>
      <c r="B42" s="436">
        <v>213.47997999999998</v>
      </c>
      <c r="C42" s="437">
        <v>1500.8500099999999</v>
      </c>
      <c r="D42" s="438">
        <v>4.8634081754027267</v>
      </c>
      <c r="E42" s="431">
        <v>0.19978359870545698</v>
      </c>
    </row>
    <row r="43" spans="1:5">
      <c r="A43" s="432" t="s">
        <v>368</v>
      </c>
      <c r="B43" s="433">
        <v>194.54256999999998</v>
      </c>
      <c r="C43" s="434">
        <v>679.79573000000005</v>
      </c>
      <c r="D43" s="435">
        <v>3.3402178062590608</v>
      </c>
      <c r="E43" s="431">
        <v>0.18206116908952433</v>
      </c>
    </row>
    <row r="44" spans="1:5">
      <c r="A44" s="432" t="s">
        <v>362</v>
      </c>
      <c r="B44" s="436">
        <v>190.9418</v>
      </c>
      <c r="C44" s="437">
        <v>591.55538000000001</v>
      </c>
      <c r="D44" s="438">
        <v>2.4330052616637641</v>
      </c>
      <c r="E44" s="431">
        <v>0.17869141615667017</v>
      </c>
    </row>
    <row r="45" spans="1:5">
      <c r="A45" s="432" t="s">
        <v>421</v>
      </c>
      <c r="B45" s="436">
        <v>144.47683999999998</v>
      </c>
      <c r="C45" s="437">
        <v>1838.2326499999999</v>
      </c>
      <c r="D45" s="438">
        <v>10.75</v>
      </c>
      <c r="E45" s="431">
        <v>0.1352075404203828</v>
      </c>
    </row>
    <row r="46" spans="1:5">
      <c r="A46" s="432" t="s">
        <v>422</v>
      </c>
      <c r="B46" s="436">
        <v>143.73333</v>
      </c>
      <c r="C46" s="437">
        <v>574.93331999999998</v>
      </c>
      <c r="D46" s="438">
        <v>4</v>
      </c>
      <c r="E46" s="431">
        <v>0.13451173230070107</v>
      </c>
    </row>
    <row r="47" spans="1:5">
      <c r="A47" s="432" t="s">
        <v>376</v>
      </c>
      <c r="B47" s="436">
        <v>126.56004000000001</v>
      </c>
      <c r="C47" s="437">
        <v>961.86192000000005</v>
      </c>
      <c r="D47" s="438">
        <v>9</v>
      </c>
      <c r="E47" s="431">
        <v>0.11844024082963935</v>
      </c>
    </row>
    <row r="48" spans="1:5">
      <c r="A48" s="432" t="s">
        <v>423</v>
      </c>
      <c r="B48" s="436">
        <v>122.80292</v>
      </c>
      <c r="C48" s="437">
        <v>3162.1737800000005</v>
      </c>
      <c r="D48" s="438">
        <v>24</v>
      </c>
      <c r="E48" s="431">
        <v>0.11492416895082312</v>
      </c>
    </row>
    <row r="49" spans="1:5">
      <c r="A49" s="432" t="s">
        <v>366</v>
      </c>
      <c r="B49" s="436">
        <v>121.35509000000002</v>
      </c>
      <c r="C49" s="437">
        <v>2668.0813800000001</v>
      </c>
      <c r="D49" s="438">
        <v>17.315778585888197</v>
      </c>
      <c r="E49" s="431">
        <v>0.11356922837178747</v>
      </c>
    </row>
    <row r="50" spans="1:5">
      <c r="A50" s="432" t="s">
        <v>424</v>
      </c>
      <c r="B50" s="433">
        <v>111.8283</v>
      </c>
      <c r="C50" s="434">
        <v>335.48490000000004</v>
      </c>
      <c r="D50" s="435">
        <v>2.7369562435074779</v>
      </c>
      <c r="E50" s="431">
        <v>0.10465365516294997</v>
      </c>
    </row>
    <row r="51" spans="1:5">
      <c r="A51" s="432" t="s">
        <v>370</v>
      </c>
      <c r="B51" s="433">
        <v>103.55562</v>
      </c>
      <c r="C51" s="434">
        <v>1852.8988399999998</v>
      </c>
      <c r="D51" s="435">
        <v>14.666666666666666</v>
      </c>
      <c r="E51" s="431">
        <v>9.6911731159871742E-2</v>
      </c>
    </row>
    <row r="52" spans="1:5">
      <c r="A52" s="432" t="s">
        <v>425</v>
      </c>
      <c r="B52" s="436">
        <v>103.33982</v>
      </c>
      <c r="C52" s="437">
        <v>501.49238000000003</v>
      </c>
      <c r="D52" s="438">
        <v>4.1080018887883281</v>
      </c>
      <c r="E52" s="431">
        <v>9.6709776388278476E-2</v>
      </c>
    </row>
    <row r="53" spans="1:5">
      <c r="A53" s="432" t="s">
        <v>426</v>
      </c>
      <c r="B53" s="433">
        <v>102.61644000000001</v>
      </c>
      <c r="C53" s="434">
        <v>203.64525</v>
      </c>
      <c r="D53" s="435">
        <v>1.9883059143289616</v>
      </c>
      <c r="E53" s="431">
        <v>9.603280677439921E-2</v>
      </c>
    </row>
    <row r="54" spans="1:5">
      <c r="A54" s="432" t="s">
        <v>427</v>
      </c>
      <c r="B54" s="436">
        <v>97.934740000000005</v>
      </c>
      <c r="C54" s="437">
        <v>391.73896000000002</v>
      </c>
      <c r="D54" s="438">
        <v>4</v>
      </c>
      <c r="E54" s="431">
        <v>9.1651473807910555E-2</v>
      </c>
    </row>
    <row r="55" spans="1:5">
      <c r="A55" s="432" t="s">
        <v>428</v>
      </c>
      <c r="B55" s="436">
        <v>97.341279999999998</v>
      </c>
      <c r="C55" s="437">
        <v>192.23435999999998</v>
      </c>
      <c r="D55" s="438">
        <v>2</v>
      </c>
      <c r="E55" s="431">
        <v>9.1096088827605878E-2</v>
      </c>
    </row>
    <row r="56" spans="1:5">
      <c r="A56" s="432" t="s">
        <v>367</v>
      </c>
      <c r="B56" s="436">
        <v>93.625110000000006</v>
      </c>
      <c r="C56" s="437">
        <v>141.07165000000001</v>
      </c>
      <c r="D56" s="438">
        <v>1.5067715274246405</v>
      </c>
      <c r="E56" s="431">
        <v>8.7618339691592009E-2</v>
      </c>
    </row>
    <row r="57" spans="1:5">
      <c r="A57" s="432" t="s">
        <v>374</v>
      </c>
      <c r="B57" s="433">
        <v>93.625110000000006</v>
      </c>
      <c r="C57" s="434">
        <v>3541.2705700000001</v>
      </c>
      <c r="D57" s="435">
        <v>37.823940286959342</v>
      </c>
      <c r="E57" s="431">
        <v>8.7618339691592009E-2</v>
      </c>
    </row>
    <row r="58" spans="1:5">
      <c r="A58" s="432" t="s">
        <v>334</v>
      </c>
      <c r="B58" s="436">
        <v>93.204939999999993</v>
      </c>
      <c r="C58" s="437">
        <v>186.40987999999999</v>
      </c>
      <c r="D58" s="438">
        <v>2</v>
      </c>
      <c r="E58" s="431">
        <v>8.7225126826066757E-2</v>
      </c>
    </row>
    <row r="59" spans="1:5">
      <c r="A59" s="432" t="s">
        <v>429</v>
      </c>
      <c r="B59" s="436">
        <v>91.82535</v>
      </c>
      <c r="C59" s="437">
        <v>1725.5324500000002</v>
      </c>
      <c r="D59" s="438">
        <v>19.5</v>
      </c>
      <c r="E59" s="431">
        <v>8.5934048126611859E-2</v>
      </c>
    </row>
    <row r="60" spans="1:5">
      <c r="A60" s="432" t="s">
        <v>430</v>
      </c>
      <c r="B60" s="433">
        <v>80.593600000000009</v>
      </c>
      <c r="C60" s="434">
        <v>180.03478000000001</v>
      </c>
      <c r="D60" s="435">
        <v>2.5</v>
      </c>
      <c r="E60" s="431">
        <v>7.5422901204263371E-2</v>
      </c>
    </row>
    <row r="61" spans="1:5">
      <c r="A61" s="432" t="s">
        <v>431</v>
      </c>
      <c r="B61" s="433">
        <v>60.245420000000003</v>
      </c>
      <c r="C61" s="434">
        <v>77.180640000000011</v>
      </c>
      <c r="D61" s="435">
        <v>1.5</v>
      </c>
      <c r="E61" s="431">
        <v>5.6380213325491757E-2</v>
      </c>
    </row>
    <row r="62" spans="1:5">
      <c r="A62" s="432" t="s">
        <v>371</v>
      </c>
      <c r="B62" s="436">
        <v>51.669910000000002</v>
      </c>
      <c r="C62" s="437">
        <v>138.07451</v>
      </c>
      <c r="D62" s="438">
        <v>2.5</v>
      </c>
      <c r="E62" s="431">
        <v>4.8354888194139238E-2</v>
      </c>
    </row>
    <row r="63" spans="1:5">
      <c r="A63" s="432" t="s">
        <v>432</v>
      </c>
      <c r="B63" s="436">
        <v>51.669910000000002</v>
      </c>
      <c r="C63" s="437">
        <v>223.61486000000002</v>
      </c>
      <c r="D63" s="438">
        <v>4.5</v>
      </c>
      <c r="E63" s="431">
        <v>4.8354888194139238E-2</v>
      </c>
    </row>
    <row r="64" spans="1:5">
      <c r="A64" s="432" t="s">
        <v>433</v>
      </c>
      <c r="B64" s="433">
        <v>51.669910000000002</v>
      </c>
      <c r="C64" s="434">
        <v>68.605130000000003</v>
      </c>
      <c r="D64" s="435">
        <v>1.5</v>
      </c>
      <c r="E64" s="431">
        <v>4.8354888194139238E-2</v>
      </c>
    </row>
    <row r="65" spans="1:5">
      <c r="A65" s="432" t="s">
        <v>378</v>
      </c>
      <c r="B65" s="436">
        <v>51.669910000000002</v>
      </c>
      <c r="C65" s="437">
        <v>292.21999</v>
      </c>
      <c r="D65" s="438">
        <v>5.6555157537530061</v>
      </c>
      <c r="E65" s="431">
        <v>4.8354888194139238E-2</v>
      </c>
    </row>
    <row r="66" spans="1:5">
      <c r="A66" s="432" t="s">
        <v>375</v>
      </c>
      <c r="B66" s="433">
        <v>49.894739999999999</v>
      </c>
      <c r="C66" s="434">
        <v>49.894739999999999</v>
      </c>
      <c r="D66" s="435">
        <v>1</v>
      </c>
      <c r="E66" s="431">
        <v>4.6693608991686772E-2</v>
      </c>
    </row>
    <row r="67" spans="1:5">
      <c r="A67" s="432" t="s">
        <v>434</v>
      </c>
      <c r="B67" s="433">
        <v>48.04</v>
      </c>
      <c r="C67" s="434">
        <v>48.04</v>
      </c>
      <c r="D67" s="435">
        <v>1</v>
      </c>
      <c r="E67" s="431">
        <v>4.4957864816223762E-2</v>
      </c>
    </row>
    <row r="68" spans="1:5">
      <c r="A68" s="432" t="s">
        <v>435</v>
      </c>
      <c r="B68" s="433">
        <v>47.446539999999999</v>
      </c>
      <c r="C68" s="434">
        <v>94.893079999999998</v>
      </c>
      <c r="D68" s="435">
        <v>2</v>
      </c>
      <c r="E68" s="431">
        <v>4.4402479835919099E-2</v>
      </c>
    </row>
    <row r="69" spans="1:5">
      <c r="A69" s="432" t="s">
        <v>436</v>
      </c>
      <c r="B69" s="436">
        <v>47.446539999999999</v>
      </c>
      <c r="C69" s="437">
        <v>1233.61004</v>
      </c>
      <c r="D69" s="438">
        <v>26.000000000000004</v>
      </c>
      <c r="E69" s="431">
        <v>4.4402479835919099E-2</v>
      </c>
    </row>
    <row r="70" spans="1:5">
      <c r="A70" s="432" t="s">
        <v>437</v>
      </c>
      <c r="B70" s="436">
        <v>43.310200000000002</v>
      </c>
      <c r="C70" s="437">
        <v>346.48160000000001</v>
      </c>
      <c r="D70" s="438">
        <v>8</v>
      </c>
      <c r="E70" s="431">
        <v>4.0531517834379992E-2</v>
      </c>
    </row>
    <row r="71" spans="1:5">
      <c r="A71" s="432" t="s">
        <v>438</v>
      </c>
      <c r="B71" s="436">
        <v>43.310200000000002</v>
      </c>
      <c r="C71" s="437">
        <v>216.55100000000002</v>
      </c>
      <c r="D71" s="438">
        <v>5</v>
      </c>
      <c r="E71" s="431">
        <v>4.0531517834379992E-2</v>
      </c>
    </row>
    <row r="72" spans="1:5">
      <c r="A72" s="432" t="s">
        <v>381</v>
      </c>
      <c r="B72" s="436">
        <v>43.310200000000002</v>
      </c>
      <c r="C72" s="437">
        <v>692.96320000000003</v>
      </c>
      <c r="D72" s="438">
        <v>16</v>
      </c>
      <c r="E72" s="431">
        <v>4.0531517834379992E-2</v>
      </c>
    </row>
    <row r="73" spans="1:5">
      <c r="A73" s="432" t="s">
        <v>439</v>
      </c>
      <c r="B73" s="433">
        <v>34.734690000000001</v>
      </c>
      <c r="C73" s="434">
        <v>694.69380000000001</v>
      </c>
      <c r="D73" s="435">
        <v>20</v>
      </c>
      <c r="E73" s="431">
        <v>3.2506192703027466E-2</v>
      </c>
    </row>
    <row r="74" spans="1:5">
      <c r="A74" s="432" t="s">
        <v>440</v>
      </c>
      <c r="B74" s="436">
        <v>34.734690000000001</v>
      </c>
      <c r="C74" s="437">
        <v>138.93876</v>
      </c>
      <c r="D74" s="438">
        <v>4</v>
      </c>
      <c r="E74" s="431">
        <v>3.2506192703027466E-2</v>
      </c>
    </row>
    <row r="75" spans="1:5">
      <c r="A75" s="432" t="s">
        <v>373</v>
      </c>
      <c r="B75" s="436">
        <v>34.734690000000001</v>
      </c>
      <c r="C75" s="437">
        <v>34.734690000000001</v>
      </c>
      <c r="D75" s="438">
        <v>1</v>
      </c>
      <c r="E75" s="431">
        <v>3.2506192703027466E-2</v>
      </c>
    </row>
    <row r="76" spans="1:5">
      <c r="A76" s="432" t="s">
        <v>441</v>
      </c>
      <c r="B76" s="436">
        <v>16.935220000000001</v>
      </c>
      <c r="C76" s="437">
        <v>50.805660000000003</v>
      </c>
      <c r="D76" s="438">
        <v>3</v>
      </c>
      <c r="E76" s="431">
        <v>1.5848695491111762E-2</v>
      </c>
    </row>
    <row r="77" spans="1:5">
      <c r="A77" s="432" t="s">
        <v>379</v>
      </c>
      <c r="B77" s="433">
        <v>16.935220000000001</v>
      </c>
      <c r="C77" s="434">
        <v>118.54654000000001</v>
      </c>
      <c r="D77" s="435">
        <v>7</v>
      </c>
      <c r="E77" s="431">
        <v>1.5848695491111762E-2</v>
      </c>
    </row>
    <row r="78" spans="1:5">
      <c r="A78" s="432" t="s">
        <v>442</v>
      </c>
      <c r="B78" s="436">
        <v>16.935220000000001</v>
      </c>
      <c r="C78" s="437">
        <v>508.0566</v>
      </c>
      <c r="D78" s="438">
        <v>30</v>
      </c>
      <c r="E78" s="431">
        <v>1.5848695491111762E-2</v>
      </c>
    </row>
    <row r="79" spans="1:5">
      <c r="A79" s="432" t="s">
        <v>443</v>
      </c>
      <c r="B79" s="433">
        <v>16.935220000000001</v>
      </c>
      <c r="C79" s="434">
        <v>67.740880000000004</v>
      </c>
      <c r="D79" s="435">
        <v>4</v>
      </c>
      <c r="E79" s="431">
        <v>1.5848695491111762E-2</v>
      </c>
    </row>
    <row r="80" spans="1:5">
      <c r="A80" s="162" t="s">
        <v>53</v>
      </c>
      <c r="B80" s="436">
        <v>106855.60845999962</v>
      </c>
      <c r="C80" s="436">
        <v>886621.04319999984</v>
      </c>
      <c r="D80" s="439">
        <v>8.2973748966288277</v>
      </c>
      <c r="E80" s="436">
        <v>100</v>
      </c>
    </row>
    <row r="83" spans="1:1">
      <c r="A83" s="203" t="s">
        <v>392</v>
      </c>
    </row>
  </sheetData>
  <sortState xmlns:xlrd2="http://schemas.microsoft.com/office/spreadsheetml/2017/richdata2" ref="A12:E79">
    <sortCondition descending="1" ref="B12:B79"/>
  </sortState>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Z51"/>
  <sheetViews>
    <sheetView showGridLines="0" topLeftCell="A35" zoomScale="85" zoomScaleNormal="85" workbookViewId="0">
      <selection activeCell="A52" sqref="A52:XFD1048576"/>
    </sheetView>
  </sheetViews>
  <sheetFormatPr baseColWidth="10" defaultColWidth="11.44140625" defaultRowHeight="14.4"/>
  <cols>
    <col min="1" max="1" width="27.44140625" customWidth="1"/>
    <col min="2" max="9" width="19.44140625" hidden="1" customWidth="1"/>
    <col min="10" max="16" width="19.44140625" customWidth="1"/>
  </cols>
  <sheetData>
    <row r="1" spans="1:26" ht="18">
      <c r="A1" s="1055" t="s">
        <v>75</v>
      </c>
      <c r="B1" s="1055"/>
      <c r="C1" s="1055"/>
      <c r="D1" s="1055"/>
      <c r="E1" s="1055"/>
      <c r="F1" s="1055"/>
      <c r="G1" s="1056"/>
      <c r="H1" s="1056"/>
      <c r="I1" s="1056"/>
      <c r="J1" s="1056"/>
      <c r="K1" s="1057"/>
      <c r="L1" s="1057"/>
      <c r="M1" s="1057"/>
      <c r="N1" s="1057"/>
      <c r="O1" s="1057"/>
      <c r="P1" s="1057"/>
      <c r="Q1" s="640"/>
      <c r="R1" s="640"/>
      <c r="S1" s="640"/>
      <c r="T1" s="640"/>
      <c r="U1" s="640"/>
      <c r="V1" s="640"/>
      <c r="W1" s="640"/>
      <c r="X1" s="640"/>
      <c r="Y1" s="640"/>
      <c r="Z1" s="640"/>
    </row>
    <row r="2" spans="1:26">
      <c r="A2" s="1001"/>
      <c r="B2" s="1001"/>
      <c r="C2" s="1001"/>
      <c r="D2" s="1001"/>
      <c r="E2" s="1001"/>
      <c r="F2" s="1001"/>
      <c r="G2" s="1058"/>
      <c r="H2" s="1058"/>
      <c r="I2" s="1058"/>
      <c r="J2" s="1058"/>
      <c r="K2" s="1059"/>
      <c r="L2" s="1059"/>
      <c r="M2" s="1059"/>
      <c r="N2" s="1059"/>
      <c r="O2" s="1059"/>
      <c r="P2" s="1059"/>
      <c r="Q2" s="2"/>
      <c r="R2" s="2"/>
      <c r="S2" s="2"/>
      <c r="T2" s="2"/>
      <c r="U2" s="2"/>
      <c r="V2" s="2"/>
      <c r="W2" s="2"/>
      <c r="X2" s="2"/>
      <c r="Y2" s="2"/>
      <c r="Z2" s="2"/>
    </row>
    <row r="3" spans="1:26">
      <c r="A3" s="1001"/>
      <c r="B3" s="1001"/>
      <c r="C3" s="1001"/>
      <c r="D3" s="1001"/>
      <c r="E3" s="1001"/>
      <c r="F3" s="1001"/>
      <c r="G3" s="1058"/>
      <c r="H3" s="1058"/>
      <c r="I3" s="1058"/>
      <c r="J3" s="1058"/>
      <c r="K3" s="1059"/>
      <c r="L3" s="1059"/>
      <c r="M3" s="1059"/>
      <c r="N3" s="1059"/>
      <c r="O3" s="1059"/>
      <c r="P3" s="1059"/>
      <c r="Q3" s="2"/>
      <c r="R3" s="2"/>
      <c r="S3" s="2"/>
      <c r="T3" s="2"/>
      <c r="U3" s="2"/>
      <c r="V3" s="2"/>
      <c r="W3" s="2"/>
      <c r="X3" s="2"/>
      <c r="Y3" s="2"/>
      <c r="Z3" s="2"/>
    </row>
    <row r="4" spans="1:26" ht="18">
      <c r="A4" s="1055" t="s">
        <v>76</v>
      </c>
      <c r="B4" s="1055"/>
      <c r="C4" s="1055"/>
      <c r="D4" s="1055"/>
      <c r="E4" s="1055"/>
      <c r="F4" s="1055"/>
      <c r="G4" s="1056"/>
      <c r="H4" s="1056"/>
      <c r="I4" s="1056"/>
      <c r="J4" s="1056"/>
      <c r="K4" s="1057"/>
      <c r="L4" s="1057"/>
      <c r="M4" s="1057"/>
      <c r="N4" s="1057"/>
      <c r="O4" s="1057"/>
      <c r="P4" s="1057"/>
      <c r="Q4" s="640"/>
      <c r="R4" s="640"/>
      <c r="S4" s="640"/>
      <c r="T4" s="640"/>
      <c r="U4" s="640"/>
      <c r="V4" s="640"/>
      <c r="W4" s="640"/>
      <c r="X4" s="640"/>
      <c r="Y4" s="640"/>
      <c r="Z4" s="640"/>
    </row>
    <row r="5" spans="1:26" ht="15" thickBot="1">
      <c r="A5" s="1001"/>
      <c r="B5" s="1001"/>
      <c r="C5" s="1001"/>
      <c r="D5" s="1001"/>
      <c r="E5" s="1001"/>
      <c r="F5" s="1001"/>
      <c r="G5" s="1058"/>
      <c r="H5" s="1058"/>
      <c r="I5" s="1058"/>
      <c r="J5" s="1058"/>
      <c r="K5" s="1059"/>
      <c r="L5" s="1059"/>
      <c r="M5" s="1059"/>
      <c r="N5" s="1059"/>
      <c r="O5" s="1059"/>
      <c r="P5" s="1059"/>
      <c r="Q5" s="2"/>
      <c r="R5" s="2"/>
      <c r="S5" s="2"/>
      <c r="T5" s="2"/>
      <c r="U5" s="2"/>
      <c r="V5" s="2"/>
      <c r="W5" s="2"/>
      <c r="X5" s="2"/>
      <c r="Y5" s="2"/>
      <c r="Z5" s="2"/>
    </row>
    <row r="6" spans="1:26" ht="15" thickBot="1">
      <c r="A6" s="1047" t="s">
        <v>68</v>
      </c>
      <c r="B6" s="1036" t="s">
        <v>0</v>
      </c>
      <c r="C6" s="1036" t="s">
        <v>1</v>
      </c>
      <c r="D6" s="1036" t="s">
        <v>2</v>
      </c>
      <c r="E6" s="1036" t="s">
        <v>3</v>
      </c>
      <c r="F6" s="1036" t="s">
        <v>34</v>
      </c>
      <c r="G6" s="1036" t="s">
        <v>35</v>
      </c>
      <c r="H6" s="1036" t="s">
        <v>321</v>
      </c>
      <c r="I6" s="1036" t="s">
        <v>324</v>
      </c>
      <c r="J6" s="1036" t="s">
        <v>735</v>
      </c>
      <c r="K6" s="1036" t="s">
        <v>845</v>
      </c>
      <c r="L6" s="1036" t="s">
        <v>846</v>
      </c>
      <c r="M6" s="1036" t="s">
        <v>1383</v>
      </c>
      <c r="N6" s="2823" t="s">
        <v>1491</v>
      </c>
      <c r="O6" s="2823" t="s">
        <v>1492</v>
      </c>
      <c r="P6" s="2823" t="s">
        <v>1934</v>
      </c>
      <c r="Q6" s="2"/>
      <c r="R6" s="2"/>
      <c r="S6" s="2"/>
      <c r="T6" s="2"/>
      <c r="U6" s="2"/>
      <c r="V6" s="2"/>
      <c r="W6" s="2"/>
      <c r="X6" s="2"/>
      <c r="Y6" s="2"/>
      <c r="Z6" s="2"/>
    </row>
    <row r="7" spans="1:26" ht="15" thickBot="1">
      <c r="A7" s="1047"/>
      <c r="B7" s="1048">
        <v>2008</v>
      </c>
      <c r="C7" s="1048">
        <v>2009</v>
      </c>
      <c r="D7" s="1048">
        <v>2010</v>
      </c>
      <c r="E7" s="1048">
        <v>2011</v>
      </c>
      <c r="F7" s="1048">
        <v>2012</v>
      </c>
      <c r="G7" s="1048">
        <v>2013</v>
      </c>
      <c r="H7" s="1048">
        <v>2014</v>
      </c>
      <c r="I7" s="1048">
        <v>2015</v>
      </c>
      <c r="J7" s="1048">
        <v>2016</v>
      </c>
      <c r="K7" s="1048">
        <v>2017</v>
      </c>
      <c r="L7" s="1048">
        <v>2018</v>
      </c>
      <c r="M7" s="1048">
        <v>2019</v>
      </c>
      <c r="N7" s="1048">
        <v>2020</v>
      </c>
      <c r="O7" s="1048">
        <v>2021</v>
      </c>
      <c r="P7" s="2858" t="s">
        <v>1588</v>
      </c>
      <c r="Q7" s="2"/>
      <c r="R7" s="2"/>
      <c r="S7" s="2"/>
      <c r="T7" s="2"/>
      <c r="U7" s="2"/>
      <c r="V7" s="2"/>
      <c r="W7" s="2"/>
      <c r="X7" s="2"/>
      <c r="Y7" s="2"/>
      <c r="Z7" s="2"/>
    </row>
    <row r="8" spans="1:26">
      <c r="A8" s="302" t="s">
        <v>69</v>
      </c>
      <c r="B8" s="1038">
        <v>501.31253194073895</v>
      </c>
      <c r="C8" s="1038">
        <v>540.06151763889739</v>
      </c>
      <c r="D8" s="1038">
        <v>443.1120525773934</v>
      </c>
      <c r="E8" s="1038">
        <v>541.17728073182786</v>
      </c>
      <c r="F8" s="1038">
        <v>573.84788016827667</v>
      </c>
      <c r="G8" s="1038">
        <v>509.43308012057526</v>
      </c>
      <c r="H8" s="1038">
        <v>644.95821161471667</v>
      </c>
      <c r="I8" s="1038">
        <v>548.48561736122952</v>
      </c>
      <c r="J8" s="1038">
        <f>I8*4%+I8</f>
        <v>570.42504205567866</v>
      </c>
      <c r="K8" s="1038">
        <f t="shared" ref="K8:M10" si="0">J8*3%+J8</f>
        <v>587.53779331734904</v>
      </c>
      <c r="L8" s="1038">
        <f t="shared" si="0"/>
        <v>605.16392711686956</v>
      </c>
      <c r="M8" s="1038">
        <f t="shared" si="0"/>
        <v>623.31884493037569</v>
      </c>
      <c r="N8" s="1038"/>
      <c r="O8" s="1038"/>
      <c r="P8" s="1038"/>
      <c r="Q8" s="2"/>
      <c r="R8" s="2"/>
      <c r="S8" s="2"/>
      <c r="T8" s="2"/>
      <c r="U8" s="2"/>
      <c r="V8" s="2"/>
      <c r="W8" s="2"/>
      <c r="X8" s="2"/>
      <c r="Y8" s="2"/>
      <c r="Z8" s="2"/>
    </row>
    <row r="9" spans="1:26">
      <c r="A9" s="302" t="s">
        <v>70</v>
      </c>
      <c r="B9" s="1038">
        <v>429.77568458449502</v>
      </c>
      <c r="C9" s="1038">
        <v>755.02154873755273</v>
      </c>
      <c r="D9" s="1038">
        <v>646.68246306612411</v>
      </c>
      <c r="E9" s="1038">
        <v>624.67302431790165</v>
      </c>
      <c r="F9" s="1038">
        <v>528.50040204381787</v>
      </c>
      <c r="G9" s="1038">
        <v>540.52519104434077</v>
      </c>
      <c r="H9" s="1038">
        <v>559.54546215290986</v>
      </c>
      <c r="I9" s="1038">
        <v>602.98696392941406</v>
      </c>
      <c r="J9" s="1038">
        <f>I9*4%+I9</f>
        <v>627.10644248659059</v>
      </c>
      <c r="K9" s="1038">
        <f t="shared" si="0"/>
        <v>645.91963576118826</v>
      </c>
      <c r="L9" s="1038">
        <f t="shared" si="0"/>
        <v>665.29722483402395</v>
      </c>
      <c r="M9" s="1038">
        <f t="shared" si="0"/>
        <v>685.25614157904465</v>
      </c>
      <c r="N9" s="1038"/>
      <c r="O9" s="1038"/>
      <c r="P9" s="1038"/>
      <c r="Q9" s="2"/>
      <c r="R9" s="2"/>
      <c r="S9" s="2"/>
      <c r="T9" s="2"/>
      <c r="U9" s="2"/>
      <c r="V9" s="2"/>
      <c r="W9" s="2"/>
      <c r="X9" s="2"/>
      <c r="Y9" s="2"/>
      <c r="Z9" s="2"/>
    </row>
    <row r="10" spans="1:26">
      <c r="A10" s="302" t="s">
        <v>71</v>
      </c>
      <c r="B10" s="1038">
        <v>556.57603960511847</v>
      </c>
      <c r="C10" s="1038">
        <v>741.24866132766579</v>
      </c>
      <c r="D10" s="1038">
        <v>352.48711754247603</v>
      </c>
      <c r="E10" s="1038">
        <v>926.42635968693673</v>
      </c>
      <c r="F10" s="1038">
        <v>415.21854612361483</v>
      </c>
      <c r="G10" s="1038">
        <v>697.5792621223311</v>
      </c>
      <c r="H10" s="1038">
        <v>535.9804139834406</v>
      </c>
      <c r="I10" s="1038">
        <v>742.39515873030859</v>
      </c>
      <c r="J10" s="1038">
        <f>I10*4%+I10</f>
        <v>772.09096507952097</v>
      </c>
      <c r="K10" s="1038">
        <f t="shared" si="0"/>
        <v>795.25369403190655</v>
      </c>
      <c r="L10" s="1038">
        <f t="shared" si="0"/>
        <v>819.11130485286378</v>
      </c>
      <c r="M10" s="1038">
        <f t="shared" si="0"/>
        <v>843.6846439984497</v>
      </c>
      <c r="N10" s="1038"/>
      <c r="O10" s="1038"/>
      <c r="P10" s="1038"/>
      <c r="Q10" s="2"/>
      <c r="R10" s="2"/>
      <c r="S10" s="2"/>
      <c r="T10" s="2"/>
      <c r="U10" s="2"/>
      <c r="V10" s="2"/>
      <c r="W10" s="2"/>
      <c r="X10" s="2"/>
      <c r="Y10" s="2"/>
      <c r="Z10" s="2"/>
    </row>
    <row r="11" spans="1:26">
      <c r="A11" s="302" t="s">
        <v>72</v>
      </c>
      <c r="B11" s="1038">
        <v>1448.3943205891428</v>
      </c>
      <c r="C11" s="1038">
        <v>0</v>
      </c>
      <c r="D11" s="1038">
        <v>0</v>
      </c>
      <c r="E11" s="1038">
        <v>494.3212197159566</v>
      </c>
      <c r="F11" s="1038">
        <v>300.04699000867583</v>
      </c>
      <c r="G11" s="1038">
        <v>162.5</v>
      </c>
      <c r="H11" s="1038"/>
      <c r="I11" s="1038" t="s">
        <v>390</v>
      </c>
      <c r="J11" s="1038"/>
      <c r="K11" s="1038"/>
      <c r="L11" s="1038"/>
      <c r="M11" s="1038"/>
      <c r="N11" s="1038"/>
      <c r="O11" s="1038"/>
      <c r="P11" s="1038"/>
      <c r="Q11" s="2"/>
      <c r="R11" s="2"/>
      <c r="S11" s="2"/>
      <c r="T11" s="2"/>
      <c r="U11" s="2"/>
      <c r="V11" s="2"/>
      <c r="W11" s="2"/>
      <c r="X11" s="2"/>
      <c r="Y11" s="2"/>
      <c r="Z11" s="2"/>
    </row>
    <row r="12" spans="1:26">
      <c r="A12" s="302" t="s">
        <v>73</v>
      </c>
      <c r="B12" s="1038">
        <v>360.9099118635379</v>
      </c>
      <c r="C12" s="1038">
        <v>737.23080498817126</v>
      </c>
      <c r="D12" s="1038">
        <v>620.99999999999989</v>
      </c>
      <c r="E12" s="1038">
        <v>927.82718771693419</v>
      </c>
      <c r="F12" s="1038">
        <v>420.75713000845218</v>
      </c>
      <c r="G12" s="1038">
        <v>396.4551588243184</v>
      </c>
      <c r="H12" s="1038">
        <v>457.93877679697351</v>
      </c>
      <c r="I12" s="1038">
        <v>409.58582429036596</v>
      </c>
      <c r="J12" s="1038">
        <f>I12*4%+I12</f>
        <v>425.9692572619806</v>
      </c>
      <c r="K12" s="1038">
        <f>J12*3%+J12</f>
        <v>438.74833497984002</v>
      </c>
      <c r="L12" s="1038">
        <f>K12*3%+K12</f>
        <v>451.91078502923523</v>
      </c>
      <c r="M12" s="1038">
        <f>L12*3%+L12</f>
        <v>465.4681085801123</v>
      </c>
      <c r="N12" s="1038"/>
      <c r="O12" s="1038"/>
      <c r="P12" s="1038"/>
      <c r="Q12" s="2"/>
      <c r="R12" s="2"/>
      <c r="S12" s="2"/>
      <c r="T12" s="2"/>
      <c r="U12" s="2"/>
      <c r="V12" s="2"/>
      <c r="W12" s="2"/>
      <c r="X12" s="2"/>
      <c r="Y12" s="2"/>
      <c r="Z12" s="2"/>
    </row>
    <row r="13" spans="1:26">
      <c r="A13" s="302" t="s">
        <v>74</v>
      </c>
      <c r="B13" s="1038"/>
      <c r="C13" s="1038"/>
      <c r="D13" s="1038"/>
      <c r="E13" s="1038"/>
      <c r="F13" s="1038"/>
      <c r="G13" s="1038">
        <v>765.89216789964632</v>
      </c>
      <c r="H13" s="1038"/>
      <c r="I13" s="1038" t="s">
        <v>390</v>
      </c>
      <c r="J13" s="1038"/>
      <c r="K13" s="1038"/>
      <c r="L13" s="1038"/>
      <c r="M13" s="1038"/>
      <c r="N13" s="1038"/>
      <c r="O13" s="1038"/>
      <c r="P13" s="1038"/>
      <c r="Q13" s="2"/>
      <c r="R13" s="2"/>
      <c r="S13" s="2"/>
      <c r="T13" s="2"/>
      <c r="U13" s="2"/>
      <c r="V13" s="2"/>
      <c r="W13" s="2"/>
      <c r="X13" s="2"/>
      <c r="Y13" s="2"/>
      <c r="Z13" s="2"/>
    </row>
    <row r="14" spans="1:26">
      <c r="A14" s="1049" t="s">
        <v>882</v>
      </c>
      <c r="B14" s="1046">
        <v>486.69833267835998</v>
      </c>
      <c r="C14" s="1046">
        <v>612.29928589716724</v>
      </c>
      <c r="D14" s="1046">
        <v>485.41117738443114</v>
      </c>
      <c r="E14" s="1046">
        <v>577.37172124191443</v>
      </c>
      <c r="F14" s="1046">
        <v>556.90718760898835</v>
      </c>
      <c r="G14" s="1046">
        <v>518.4455582456535</v>
      </c>
      <c r="H14" s="1046">
        <v>622.17051699405158</v>
      </c>
      <c r="I14" s="1046">
        <v>565.25786036732552</v>
      </c>
      <c r="J14" s="1046">
        <v>759.82</v>
      </c>
      <c r="K14" s="3802">
        <f>J14</f>
        <v>759.82</v>
      </c>
      <c r="L14" s="3802">
        <f>J14</f>
        <v>759.82</v>
      </c>
      <c r="M14" s="3802">
        <f>K14</f>
        <v>759.82</v>
      </c>
      <c r="N14" s="3802">
        <f>'DATOS-EC-UIO'!J65</f>
        <v>569.36999999999989</v>
      </c>
      <c r="O14" s="3802">
        <f>'DATOS-EC-UIO'!K65</f>
        <v>569.36999999999989</v>
      </c>
      <c r="P14" s="3802">
        <f>'DATOS-EC-UIO'!L65</f>
        <v>569.36999999999989</v>
      </c>
      <c r="Q14" s="2"/>
      <c r="R14" s="2"/>
      <c r="S14" s="2"/>
      <c r="T14" s="2"/>
      <c r="U14" s="2"/>
      <c r="V14" s="2"/>
      <c r="W14" s="2"/>
      <c r="X14" s="2"/>
      <c r="Y14" s="2"/>
      <c r="Z14" s="2"/>
    </row>
    <row r="15" spans="1:26">
      <c r="A15" s="302"/>
      <c r="B15" s="1038"/>
      <c r="C15" s="1038"/>
      <c r="D15" s="1038"/>
      <c r="E15" s="1038"/>
      <c r="F15" s="1038"/>
      <c r="G15" s="1038"/>
      <c r="H15" s="1038"/>
      <c r="I15" s="1038"/>
      <c r="J15" s="1038"/>
      <c r="K15" s="1038"/>
      <c r="L15" s="1038"/>
      <c r="M15" s="1038"/>
      <c r="N15" s="1038"/>
      <c r="O15" s="1038"/>
      <c r="P15" s="1038"/>
      <c r="Q15" s="2"/>
      <c r="R15" s="2"/>
      <c r="S15" s="2"/>
      <c r="T15" s="2"/>
      <c r="U15" s="2"/>
      <c r="V15" s="2"/>
      <c r="W15" s="2"/>
      <c r="X15" s="2"/>
      <c r="Y15" s="2"/>
      <c r="Z15" s="2"/>
    </row>
    <row r="16" spans="1:26" ht="15" thickBot="1">
      <c r="A16" s="302"/>
      <c r="B16" s="1039"/>
      <c r="C16" s="1039"/>
      <c r="D16" s="1039"/>
      <c r="E16" s="1039"/>
      <c r="F16" s="1039"/>
      <c r="G16" s="1039"/>
      <c r="H16" s="1039"/>
      <c r="I16" s="1039"/>
      <c r="J16" s="1039"/>
      <c r="K16" s="1039"/>
      <c r="L16" s="1039"/>
      <c r="M16" s="1039"/>
      <c r="N16" s="1039"/>
      <c r="O16" s="1039"/>
      <c r="P16" s="1039"/>
      <c r="Q16" s="2"/>
      <c r="R16" s="2"/>
      <c r="S16" s="2"/>
      <c r="T16" s="2"/>
      <c r="U16" s="2"/>
      <c r="V16" s="2"/>
      <c r="W16" s="2"/>
      <c r="X16" s="2"/>
      <c r="Y16" s="2"/>
      <c r="Z16" s="2"/>
    </row>
    <row r="17" spans="1:26" ht="15" thickBot="1">
      <c r="A17" s="1044" t="s">
        <v>883</v>
      </c>
      <c r="B17" s="1045">
        <f t="shared" ref="B17:I17" si="1">B14*B25</f>
        <v>229477777.15951404</v>
      </c>
      <c r="C17" s="1045">
        <f t="shared" si="1"/>
        <v>282799609.68089515</v>
      </c>
      <c r="D17" s="1045">
        <f t="shared" si="1"/>
        <v>230192173.95042232</v>
      </c>
      <c r="E17" s="1045">
        <f t="shared" si="1"/>
        <v>281398274.75544178</v>
      </c>
      <c r="F17" s="1045">
        <f t="shared" si="1"/>
        <v>297086594.48751569</v>
      </c>
      <c r="G17" s="1045">
        <f t="shared" si="1"/>
        <v>326080481.42306972</v>
      </c>
      <c r="H17" s="1045">
        <f t="shared" si="1"/>
        <v>437395206.00457317</v>
      </c>
      <c r="I17" s="1045">
        <f t="shared" si="1"/>
        <v>402959327.72507793</v>
      </c>
      <c r="J17" s="1045">
        <f>+J14*J25</f>
        <v>476882787.32000005</v>
      </c>
      <c r="K17" s="1045">
        <f>K14*K25</f>
        <v>496110032.42000002</v>
      </c>
      <c r="L17" s="1045">
        <f>(L14*L25)-((L14*L25)*L16)</f>
        <v>526169271.44000006</v>
      </c>
      <c r="M17" s="1045">
        <f>(M14*M25)-((M14*M25)*M16)</f>
        <v>520013209.80000001</v>
      </c>
      <c r="N17" s="1045">
        <f>(N14*N25)-((N14*N25)*N16)</f>
        <v>108417727.28999998</v>
      </c>
      <c r="O17" s="1045">
        <f>(O14*O25)-((O14*O25)*O16)</f>
        <v>159990692.51999998</v>
      </c>
      <c r="P17" s="1045">
        <f>(P14*P25)-((P14*P25)*P16)</f>
        <v>272381483.66999996</v>
      </c>
      <c r="Q17" s="2"/>
      <c r="R17" s="2"/>
      <c r="S17" s="2"/>
      <c r="T17" s="2"/>
      <c r="U17" s="2"/>
      <c r="V17" s="2"/>
      <c r="W17" s="2"/>
      <c r="X17" s="2"/>
      <c r="Y17" s="2"/>
      <c r="Z17" s="2"/>
    </row>
    <row r="18" spans="1:26" ht="15" thickBot="1">
      <c r="A18" s="206" t="s">
        <v>323</v>
      </c>
      <c r="B18" s="1040">
        <f t="shared" ref="B18:H18" si="2">B17/1000000</f>
        <v>229.47777715951403</v>
      </c>
      <c r="C18" s="1040">
        <f t="shared" si="2"/>
        <v>282.79960968089517</v>
      </c>
      <c r="D18" s="1040">
        <f t="shared" si="2"/>
        <v>230.19217395042233</v>
      </c>
      <c r="E18" s="1040">
        <f t="shared" si="2"/>
        <v>281.39827475544178</v>
      </c>
      <c r="F18" s="1040">
        <f t="shared" si="2"/>
        <v>297.0865944875157</v>
      </c>
      <c r="G18" s="1040">
        <f t="shared" si="2"/>
        <v>326.08048142306973</v>
      </c>
      <c r="H18" s="1040">
        <f t="shared" si="2"/>
        <v>437.39520600457314</v>
      </c>
      <c r="I18" s="1040">
        <f>I17/1000000</f>
        <v>402.95932772507791</v>
      </c>
      <c r="J18" s="1040">
        <f t="shared" ref="J18:O18" si="3">+J17/1000000</f>
        <v>476.88278732000003</v>
      </c>
      <c r="K18" s="1040">
        <f t="shared" si="3"/>
        <v>496.11003242000004</v>
      </c>
      <c r="L18" s="1040">
        <f t="shared" si="3"/>
        <v>526.1692714400001</v>
      </c>
      <c r="M18" s="1040">
        <f t="shared" si="3"/>
        <v>520.01320980000003</v>
      </c>
      <c r="N18" s="1040">
        <f t="shared" si="3"/>
        <v>108.41772728999997</v>
      </c>
      <c r="O18" s="1040">
        <f t="shared" si="3"/>
        <v>159.99069251999998</v>
      </c>
      <c r="P18" s="1040">
        <f>+P17/1000000</f>
        <v>272.38148366999997</v>
      </c>
      <c r="Q18" s="2"/>
      <c r="R18" s="2"/>
      <c r="S18" s="2"/>
      <c r="T18" s="2"/>
      <c r="U18" s="2"/>
      <c r="V18" s="2"/>
      <c r="W18" s="2"/>
      <c r="X18" s="2"/>
      <c r="Y18" s="2"/>
      <c r="Z18" s="2"/>
    </row>
    <row r="19" spans="1:26">
      <c r="A19" s="1060" t="s">
        <v>755</v>
      </c>
      <c r="B19" s="1061"/>
      <c r="C19" s="1061">
        <f t="shared" ref="C19:I19" si="4">C18/B18-1</f>
        <v>0.23236163946418298</v>
      </c>
      <c r="D19" s="1061">
        <f t="shared" si="4"/>
        <v>-0.18602372114245103</v>
      </c>
      <c r="E19" s="1061">
        <f t="shared" si="4"/>
        <v>0.22244935579802982</v>
      </c>
      <c r="F19" s="1061">
        <f t="shared" si="4"/>
        <v>5.5751300343644061E-2</v>
      </c>
      <c r="G19" s="1061">
        <f t="shared" si="4"/>
        <v>9.7594060026738871E-2</v>
      </c>
      <c r="H19" s="1061">
        <f t="shared" si="4"/>
        <v>0.34137193399527432</v>
      </c>
      <c r="I19" s="1061">
        <f t="shared" si="4"/>
        <v>-7.8729436918280271E-2</v>
      </c>
      <c r="J19" s="1061">
        <f t="shared" ref="J19:P19" si="5">J18/I18-1</f>
        <v>0.18345141682725097</v>
      </c>
      <c r="K19" s="1061">
        <f t="shared" si="5"/>
        <v>4.0318597381242993E-2</v>
      </c>
      <c r="L19" s="1061">
        <f t="shared" si="5"/>
        <v>6.0589863247418219E-2</v>
      </c>
      <c r="M19" s="1061">
        <f t="shared" si="5"/>
        <v>-1.1699774149015574E-2</v>
      </c>
      <c r="N19" s="1061">
        <f t="shared" si="5"/>
        <v>-0.79150966697231007</v>
      </c>
      <c r="O19" s="1061">
        <f t="shared" si="5"/>
        <v>0.47568756991235039</v>
      </c>
      <c r="P19" s="1061">
        <f t="shared" si="5"/>
        <v>0.70248330937095194</v>
      </c>
      <c r="Q19" s="2"/>
      <c r="R19" s="2"/>
      <c r="S19" s="2"/>
      <c r="T19" s="2"/>
      <c r="U19" s="2"/>
      <c r="V19" s="2"/>
      <c r="W19" s="2"/>
      <c r="X19" s="2"/>
      <c r="Y19" s="2"/>
      <c r="Z19" s="2"/>
    </row>
    <row r="20" spans="1:26">
      <c r="A20" s="1050" t="s">
        <v>881</v>
      </c>
      <c r="B20" s="1039"/>
      <c r="C20" s="1039"/>
      <c r="D20" s="1039"/>
      <c r="E20" s="1039"/>
      <c r="F20" s="1039"/>
      <c r="G20" s="1039"/>
      <c r="H20" s="1039">
        <f>H18/D18-1</f>
        <v>0.90013065387173929</v>
      </c>
      <c r="I20" s="1039">
        <f>I18/B18-1</f>
        <v>0.75598409882179496</v>
      </c>
      <c r="J20" s="1039"/>
      <c r="K20" s="1039"/>
      <c r="L20" s="1039"/>
      <c r="M20" s="1039"/>
      <c r="N20" s="1039"/>
      <c r="O20" s="1039"/>
      <c r="P20" s="1039"/>
      <c r="Q20" s="2"/>
      <c r="R20" s="2"/>
      <c r="S20" s="2"/>
      <c r="T20" s="2"/>
      <c r="U20" s="2"/>
      <c r="V20" s="2"/>
      <c r="W20" s="2"/>
      <c r="X20" s="2"/>
      <c r="Y20" s="2"/>
      <c r="Z20" s="2"/>
    </row>
    <row r="21" spans="1:26">
      <c r="A21" s="302" t="s">
        <v>77</v>
      </c>
      <c r="B21" s="1039"/>
      <c r="C21" s="1039"/>
      <c r="D21" s="1039"/>
      <c r="E21" s="1039"/>
      <c r="F21" s="1039"/>
      <c r="G21" s="1039"/>
      <c r="H21" s="1039"/>
      <c r="I21" s="1039"/>
      <c r="J21" s="1039"/>
      <c r="K21" s="1039"/>
      <c r="L21" s="1039"/>
      <c r="M21" s="1039"/>
      <c r="N21" s="1039"/>
      <c r="O21" s="1039"/>
      <c r="P21" s="1039"/>
      <c r="Q21" s="2"/>
      <c r="R21" s="2"/>
      <c r="S21" s="2"/>
      <c r="T21" s="2"/>
      <c r="U21" s="2"/>
      <c r="V21" s="2"/>
      <c r="W21" s="2"/>
      <c r="X21" s="2"/>
      <c r="Y21" s="2"/>
      <c r="Z21" s="2"/>
    </row>
    <row r="22" spans="1:26">
      <c r="A22" s="302"/>
      <c r="B22" s="1039"/>
      <c r="C22" s="1039"/>
      <c r="D22" s="1039"/>
      <c r="E22" s="1039"/>
      <c r="F22" s="1039"/>
      <c r="G22" s="1039"/>
      <c r="H22" s="1039"/>
      <c r="I22" s="1039"/>
      <c r="J22" s="1039"/>
      <c r="K22" s="1039"/>
      <c r="L22" s="1039"/>
      <c r="M22" s="1039"/>
      <c r="N22" s="1039"/>
      <c r="O22" s="1039"/>
      <c r="P22" s="1039"/>
      <c r="Q22" s="2"/>
      <c r="R22" s="2"/>
      <c r="S22" s="2"/>
      <c r="T22" s="2"/>
      <c r="U22" s="2"/>
      <c r="V22" s="2"/>
      <c r="W22" s="2"/>
      <c r="X22" s="2"/>
      <c r="Y22" s="2"/>
      <c r="Z22" s="2"/>
    </row>
    <row r="23" spans="1:26">
      <c r="A23" s="1051">
        <v>2007</v>
      </c>
      <c r="B23" s="1037">
        <v>2008</v>
      </c>
      <c r="C23" s="1037">
        <v>2009</v>
      </c>
      <c r="D23" s="1037">
        <v>2010</v>
      </c>
      <c r="E23" s="1037">
        <v>2011</v>
      </c>
      <c r="F23" s="1037">
        <v>2012</v>
      </c>
      <c r="G23" s="1037">
        <v>2013</v>
      </c>
      <c r="H23" s="1037">
        <v>2014</v>
      </c>
      <c r="I23" s="1037" t="s">
        <v>322</v>
      </c>
      <c r="J23" s="1037">
        <v>2016</v>
      </c>
      <c r="K23" s="1037">
        <v>2017</v>
      </c>
      <c r="L23" s="1037">
        <v>2018</v>
      </c>
      <c r="M23" s="1037" t="s">
        <v>868</v>
      </c>
      <c r="N23" s="1037" t="s">
        <v>1395</v>
      </c>
      <c r="O23" s="2859">
        <v>2021</v>
      </c>
      <c r="P23" s="2859" t="s">
        <v>1588</v>
      </c>
      <c r="Q23" s="2"/>
      <c r="R23" s="2"/>
      <c r="S23" s="2"/>
      <c r="T23" s="2"/>
      <c r="U23" s="2"/>
      <c r="V23" s="2"/>
      <c r="W23" s="2"/>
      <c r="X23" s="2"/>
      <c r="Y23" s="2"/>
      <c r="Z23" s="2"/>
    </row>
    <row r="24" spans="1:26">
      <c r="A24" s="1051" t="s">
        <v>48</v>
      </c>
      <c r="B24" s="1037" t="s">
        <v>48</v>
      </c>
      <c r="C24" s="1037" t="s">
        <v>48</v>
      </c>
      <c r="D24" s="1037" t="s">
        <v>48</v>
      </c>
      <c r="E24" s="1037" t="s">
        <v>48</v>
      </c>
      <c r="F24" s="1037" t="s">
        <v>48</v>
      </c>
      <c r="G24" s="1037" t="s">
        <v>48</v>
      </c>
      <c r="H24" s="1037"/>
      <c r="I24" s="1037"/>
      <c r="J24" s="1037" t="s">
        <v>48</v>
      </c>
      <c r="K24" s="1037" t="s">
        <v>48</v>
      </c>
      <c r="L24" s="1037" t="s">
        <v>48</v>
      </c>
      <c r="M24" s="1037" t="s">
        <v>48</v>
      </c>
      <c r="N24" s="1037" t="s">
        <v>48</v>
      </c>
      <c r="O24" s="2859" t="s">
        <v>48</v>
      </c>
      <c r="P24" s="2859" t="s">
        <v>48</v>
      </c>
      <c r="Q24" s="6"/>
      <c r="R24" s="6"/>
      <c r="S24" s="6"/>
      <c r="T24" s="6"/>
      <c r="U24" s="6"/>
      <c r="V24" s="6"/>
      <c r="W24" s="6"/>
      <c r="X24" s="6"/>
      <c r="Y24" s="6"/>
      <c r="Z24" s="6"/>
    </row>
    <row r="25" spans="1:26">
      <c r="A25" s="1052">
        <f>'Llegadas '!B16</f>
        <v>417853</v>
      </c>
      <c r="B25" s="1041">
        <f>'Llegadas '!C16</f>
        <v>471499</v>
      </c>
      <c r="C25" s="1041">
        <f>'Llegadas '!D16</f>
        <v>461865</v>
      </c>
      <c r="D25" s="1041">
        <f>'Llegadas '!E16</f>
        <v>474221</v>
      </c>
      <c r="E25" s="1041">
        <f>'Llegadas '!F16</f>
        <v>487378</v>
      </c>
      <c r="F25" s="1041">
        <f>'Llegadas '!G16</f>
        <v>533458</v>
      </c>
      <c r="G25" s="1041">
        <f>'Llegadas '!H16</f>
        <v>628958</v>
      </c>
      <c r="H25" s="1041">
        <f>'Llegadas '!I16</f>
        <v>703015</v>
      </c>
      <c r="I25" s="1041">
        <f>'Llegadas '!J16</f>
        <v>712877</v>
      </c>
      <c r="J25" s="1041">
        <f>'Llegadas '!K16</f>
        <v>627626</v>
      </c>
      <c r="K25" s="1041">
        <f>'Llegadas '!L16</f>
        <v>652931</v>
      </c>
      <c r="L25" s="1041">
        <f>'Llegadas '!M16</f>
        <v>692492</v>
      </c>
      <c r="M25" s="1041">
        <f>'Llegadas '!N16</f>
        <v>684390</v>
      </c>
      <c r="N25" s="1041">
        <f>'Llegadas '!O16</f>
        <v>190417</v>
      </c>
      <c r="O25" s="1041">
        <f>'Llegadas '!P16</f>
        <v>280996</v>
      </c>
      <c r="P25" s="1041">
        <f>'Llegadas '!Q16</f>
        <v>478391</v>
      </c>
      <c r="Q25" s="2"/>
      <c r="R25" s="2"/>
      <c r="S25" s="2"/>
      <c r="T25" s="2"/>
      <c r="U25" s="2"/>
      <c r="V25" s="2"/>
      <c r="W25" s="2"/>
      <c r="X25" s="2"/>
      <c r="Y25" s="2"/>
      <c r="Z25" s="2"/>
    </row>
    <row r="26" spans="1:26" ht="15" thickBot="1">
      <c r="A26" s="302"/>
      <c r="B26" s="1039"/>
      <c r="C26" s="1039"/>
      <c r="D26" s="1039"/>
      <c r="E26" s="1039"/>
      <c r="F26" s="1039"/>
      <c r="G26" s="1039"/>
      <c r="H26" s="1039"/>
      <c r="I26" s="1039"/>
      <c r="J26" s="1039"/>
      <c r="K26" s="1039"/>
      <c r="L26" s="1039"/>
      <c r="M26" s="1039"/>
      <c r="N26" s="1039"/>
      <c r="O26" s="1039"/>
      <c r="P26" s="1039"/>
      <c r="Q26" s="2"/>
      <c r="R26" s="2"/>
      <c r="S26" s="2"/>
      <c r="T26" s="2"/>
      <c r="U26" s="2"/>
      <c r="V26" s="2"/>
      <c r="W26" s="2"/>
      <c r="X26" s="2"/>
      <c r="Y26" s="2"/>
      <c r="Z26" s="2"/>
    </row>
    <row r="27" spans="1:26" ht="15" thickBot="1">
      <c r="A27" s="1053"/>
      <c r="B27" s="1042">
        <f t="shared" ref="B27:I27" si="6">B14*B25</f>
        <v>229477777.15951404</v>
      </c>
      <c r="C27" s="1042">
        <f t="shared" si="6"/>
        <v>282799609.68089515</v>
      </c>
      <c r="D27" s="1042">
        <f t="shared" si="6"/>
        <v>230192173.95042232</v>
      </c>
      <c r="E27" s="1042">
        <f t="shared" si="6"/>
        <v>281398274.75544178</v>
      </c>
      <c r="F27" s="1042">
        <f t="shared" si="6"/>
        <v>297086594.48751569</v>
      </c>
      <c r="G27" s="1042">
        <f t="shared" si="6"/>
        <v>326080481.42306972</v>
      </c>
      <c r="H27" s="1042">
        <f t="shared" si="6"/>
        <v>437395206.00457317</v>
      </c>
      <c r="I27" s="1042">
        <f t="shared" si="6"/>
        <v>402959327.72507793</v>
      </c>
      <c r="J27" s="1042">
        <f t="shared" ref="J27:O27" si="7">+J17</f>
        <v>476882787.32000005</v>
      </c>
      <c r="K27" s="1042">
        <f t="shared" si="7"/>
        <v>496110032.42000002</v>
      </c>
      <c r="L27" s="1042">
        <f t="shared" si="7"/>
        <v>526169271.44000006</v>
      </c>
      <c r="M27" s="1042">
        <f t="shared" si="7"/>
        <v>520013209.80000001</v>
      </c>
      <c r="N27" s="2860">
        <f t="shared" si="7"/>
        <v>108417727.28999998</v>
      </c>
      <c r="O27" s="2860">
        <f t="shared" si="7"/>
        <v>159990692.51999998</v>
      </c>
      <c r="P27" s="2860">
        <f>+P17</f>
        <v>272381483.66999996</v>
      </c>
      <c r="Q27" s="2"/>
      <c r="R27" s="2"/>
      <c r="S27" s="2"/>
      <c r="T27" s="2"/>
      <c r="U27" s="2"/>
      <c r="V27" s="2"/>
      <c r="W27" s="2"/>
      <c r="X27" s="2"/>
      <c r="Y27" s="2"/>
      <c r="Z27" s="2"/>
    </row>
    <row r="28" spans="1:26">
      <c r="A28" s="2"/>
      <c r="B28" s="2"/>
      <c r="C28" s="2"/>
      <c r="D28" s="2"/>
      <c r="E28" s="2"/>
      <c r="F28" s="2"/>
      <c r="G28" s="7"/>
      <c r="H28" s="7"/>
      <c r="I28" s="1043"/>
      <c r="J28" s="1043"/>
      <c r="K28" s="1043"/>
      <c r="L28" s="1043"/>
      <c r="M28" s="1043"/>
      <c r="N28" s="1043"/>
      <c r="O28" s="3800" t="s">
        <v>1493</v>
      </c>
      <c r="P28" s="3800" t="s">
        <v>1493</v>
      </c>
      <c r="Q28" s="2"/>
      <c r="R28" s="2"/>
      <c r="S28" s="2"/>
      <c r="T28" s="2"/>
      <c r="U28" s="2"/>
      <c r="V28" s="2"/>
      <c r="W28" s="2"/>
      <c r="X28" s="2"/>
      <c r="Y28" s="2"/>
      <c r="Z28" s="2"/>
    </row>
    <row r="29" spans="1:26">
      <c r="A29" s="2"/>
      <c r="B29" s="2"/>
      <c r="C29" s="2"/>
      <c r="D29" s="2"/>
      <c r="E29" s="2"/>
      <c r="F29" s="2"/>
      <c r="G29" s="7"/>
      <c r="H29" s="7"/>
      <c r="I29" s="6"/>
      <c r="J29" s="6"/>
      <c r="K29" s="6"/>
      <c r="L29" s="6"/>
      <c r="M29" s="6"/>
      <c r="N29" s="6"/>
      <c r="O29" s="6"/>
      <c r="P29" s="6"/>
      <c r="Q29" s="2"/>
      <c r="R29" s="203" t="s">
        <v>736</v>
      </c>
      <c r="S29" s="2"/>
      <c r="T29" s="2"/>
      <c r="U29" s="2"/>
      <c r="V29" s="2"/>
      <c r="W29" s="2"/>
      <c r="X29" s="2"/>
      <c r="Y29" s="2"/>
      <c r="Z29" s="2"/>
    </row>
    <row r="30" spans="1:26">
      <c r="A30" s="2"/>
      <c r="B30" s="2"/>
      <c r="C30" s="2"/>
      <c r="D30" s="2"/>
      <c r="E30" s="2"/>
      <c r="F30" s="2"/>
      <c r="G30" s="7"/>
      <c r="H30" s="7"/>
      <c r="I30" s="6"/>
      <c r="J30" s="3801" t="s">
        <v>1621</v>
      </c>
      <c r="K30" s="6"/>
      <c r="L30" s="6"/>
      <c r="M30" s="6"/>
      <c r="N30" s="5795" t="s">
        <v>1622</v>
      </c>
      <c r="O30" s="5795"/>
      <c r="P30" s="4745" t="s">
        <v>1935</v>
      </c>
      <c r="Q30" s="2"/>
      <c r="R30" s="2"/>
      <c r="S30" s="2"/>
      <c r="T30" s="2"/>
      <c r="U30" s="2"/>
      <c r="V30" s="2"/>
      <c r="W30" s="2"/>
      <c r="X30" s="2"/>
      <c r="Y30" s="2"/>
      <c r="Z30" s="2"/>
    </row>
    <row r="31" spans="1:26">
      <c r="A31" s="2"/>
      <c r="B31" s="2"/>
      <c r="C31" s="2"/>
      <c r="D31" s="2"/>
      <c r="E31" s="2"/>
      <c r="F31" s="2"/>
      <c r="G31" s="7"/>
      <c r="H31" s="7"/>
      <c r="I31" s="7"/>
      <c r="J31" s="7"/>
      <c r="K31" s="641"/>
      <c r="L31" s="641"/>
      <c r="M31" s="641"/>
      <c r="N31" s="641"/>
      <c r="O31" s="641"/>
      <c r="P31" s="641"/>
      <c r="Q31" s="2"/>
      <c r="R31" s="2"/>
      <c r="S31" s="2"/>
      <c r="T31" s="2"/>
      <c r="U31" s="2"/>
      <c r="V31" s="2"/>
      <c r="W31" s="2"/>
      <c r="X31" s="2"/>
      <c r="Y31" s="2"/>
      <c r="Z31" s="2"/>
    </row>
    <row r="32" spans="1:26">
      <c r="A32" s="2"/>
      <c r="B32" s="2"/>
      <c r="C32" s="2"/>
      <c r="D32" s="2"/>
      <c r="E32" s="2"/>
      <c r="F32" s="2"/>
      <c r="G32" s="7"/>
      <c r="H32" s="7"/>
      <c r="I32" s="7"/>
      <c r="J32" s="7"/>
      <c r="K32" s="641"/>
      <c r="L32" s="641"/>
      <c r="M32" s="641"/>
      <c r="N32" s="641"/>
      <c r="O32" s="641"/>
      <c r="P32" s="641"/>
      <c r="Q32" s="2"/>
      <c r="R32" s="2"/>
      <c r="S32" s="2"/>
      <c r="T32" s="2"/>
      <c r="U32" s="2"/>
      <c r="V32" s="2"/>
      <c r="W32" s="2"/>
      <c r="X32" s="2"/>
      <c r="Y32" s="2"/>
      <c r="Z32" s="2"/>
    </row>
    <row r="33" spans="1:26">
      <c r="A33" s="2"/>
      <c r="B33" s="2"/>
      <c r="C33" s="2"/>
      <c r="D33" s="2"/>
      <c r="E33" s="2"/>
      <c r="F33" s="2"/>
      <c r="G33" s="7"/>
      <c r="H33" s="7"/>
      <c r="I33" s="7"/>
      <c r="J33" s="7"/>
      <c r="K33" s="641"/>
      <c r="L33" s="641"/>
      <c r="M33" s="641"/>
      <c r="N33" s="641"/>
      <c r="O33" s="641"/>
      <c r="P33" s="641"/>
      <c r="Q33" s="2"/>
      <c r="R33" s="2"/>
      <c r="S33" s="2"/>
      <c r="T33" s="2"/>
      <c r="U33" s="2"/>
      <c r="V33" s="2"/>
      <c r="W33" s="2"/>
      <c r="X33" s="2"/>
      <c r="Y33" s="2"/>
      <c r="Z33" s="2"/>
    </row>
    <row r="34" spans="1:26">
      <c r="A34" s="2"/>
      <c r="B34" s="2"/>
      <c r="C34" s="2"/>
      <c r="D34" s="2"/>
      <c r="E34" s="2"/>
      <c r="F34" s="2"/>
      <c r="G34" s="7"/>
      <c r="H34" s="7"/>
      <c r="I34" s="7"/>
      <c r="J34" s="7"/>
      <c r="K34" s="641"/>
      <c r="L34" s="641"/>
      <c r="M34" s="641"/>
      <c r="N34" s="641"/>
      <c r="O34" s="641"/>
      <c r="P34" s="641"/>
      <c r="Q34" s="2"/>
      <c r="R34" s="2"/>
      <c r="S34" s="2"/>
      <c r="T34" s="2"/>
      <c r="U34" s="2"/>
      <c r="V34" s="2"/>
      <c r="W34" s="2"/>
      <c r="X34" s="2"/>
      <c r="Y34" s="2"/>
      <c r="Z34" s="2"/>
    </row>
    <row r="35" spans="1:26">
      <c r="A35" s="2"/>
      <c r="B35" s="2"/>
      <c r="C35" s="2"/>
      <c r="D35" s="2"/>
      <c r="E35" s="2"/>
      <c r="F35" s="2"/>
      <c r="G35" s="7"/>
      <c r="H35" s="7"/>
      <c r="I35" s="7"/>
      <c r="J35" s="7"/>
      <c r="K35" s="641"/>
      <c r="L35" s="641"/>
      <c r="M35" s="641"/>
      <c r="N35" s="641"/>
      <c r="O35" s="641"/>
      <c r="P35" s="641"/>
      <c r="Q35" s="2"/>
      <c r="R35" s="2"/>
      <c r="S35" s="2"/>
      <c r="T35" s="2"/>
      <c r="U35" s="2"/>
      <c r="V35" s="2"/>
      <c r="W35" s="2"/>
      <c r="X35" s="2"/>
      <c r="Y35" s="2"/>
      <c r="Z35" s="2"/>
    </row>
    <row r="36" spans="1:26">
      <c r="A36" s="2"/>
      <c r="B36" s="2"/>
      <c r="C36" s="2"/>
      <c r="D36" s="2"/>
      <c r="E36" s="2"/>
      <c r="F36" s="2"/>
      <c r="G36" s="7"/>
      <c r="H36" s="7"/>
      <c r="I36" s="7"/>
      <c r="J36" s="7"/>
      <c r="K36" s="641"/>
      <c r="L36" s="641"/>
      <c r="M36" s="641"/>
      <c r="N36" s="641"/>
      <c r="O36" s="641"/>
      <c r="P36" s="641"/>
      <c r="Q36" s="2"/>
      <c r="R36" s="2"/>
      <c r="S36" s="2"/>
      <c r="T36" s="2"/>
      <c r="U36" s="2"/>
      <c r="V36" s="2"/>
      <c r="W36" s="2"/>
      <c r="X36" s="2"/>
      <c r="Y36" s="2"/>
      <c r="Z36" s="2"/>
    </row>
    <row r="37" spans="1:26">
      <c r="A37" s="2"/>
      <c r="B37" s="2"/>
      <c r="C37" s="2"/>
      <c r="D37" s="2"/>
      <c r="E37" s="2"/>
      <c r="F37" s="2"/>
      <c r="G37" s="7"/>
      <c r="H37" s="7"/>
      <c r="I37" s="7"/>
      <c r="J37" s="7"/>
      <c r="K37" s="641"/>
      <c r="L37" s="641"/>
      <c r="M37" s="641"/>
      <c r="N37" s="641"/>
      <c r="O37" s="641"/>
      <c r="P37" s="641"/>
      <c r="Q37" s="2"/>
      <c r="R37" s="2"/>
      <c r="S37" s="2"/>
      <c r="T37" s="2"/>
      <c r="U37" s="2"/>
      <c r="V37" s="2"/>
      <c r="W37" s="2"/>
      <c r="X37" s="2"/>
      <c r="Y37" s="2"/>
      <c r="Z37" s="2"/>
    </row>
    <row r="38" spans="1:26">
      <c r="A38" s="2"/>
      <c r="B38" s="2"/>
      <c r="C38" s="2"/>
      <c r="D38" s="2"/>
      <c r="E38" s="2"/>
      <c r="F38" s="2"/>
      <c r="G38" s="7"/>
      <c r="H38" s="7"/>
      <c r="I38" s="7"/>
      <c r="J38" s="7"/>
      <c r="K38" s="641"/>
      <c r="L38" s="641"/>
      <c r="M38" s="641"/>
      <c r="N38" s="641"/>
      <c r="O38" s="641"/>
      <c r="P38" s="641"/>
      <c r="Q38" s="2"/>
      <c r="R38" s="2"/>
      <c r="S38" s="2"/>
      <c r="T38" s="2"/>
      <c r="U38" s="2"/>
      <c r="V38" s="2"/>
      <c r="W38" s="2"/>
      <c r="X38" s="2"/>
      <c r="Y38" s="2"/>
      <c r="Z38" s="2"/>
    </row>
    <row r="39" spans="1:26">
      <c r="A39" s="2"/>
      <c r="B39" s="2"/>
      <c r="C39" s="2"/>
      <c r="D39" s="2"/>
      <c r="E39" s="2"/>
      <c r="F39" s="2"/>
      <c r="G39" s="7"/>
      <c r="H39" s="7"/>
      <c r="I39" s="7"/>
      <c r="J39" s="7"/>
      <c r="K39" s="641"/>
      <c r="L39" s="641"/>
      <c r="M39" s="641"/>
      <c r="N39" s="641"/>
      <c r="O39" s="641"/>
      <c r="P39" s="641"/>
      <c r="Q39" s="2"/>
      <c r="R39" s="2"/>
      <c r="S39" s="2"/>
      <c r="T39" s="2"/>
      <c r="U39" s="2"/>
      <c r="V39" s="2"/>
      <c r="W39" s="2"/>
      <c r="X39" s="2"/>
      <c r="Y39" s="2"/>
      <c r="Z39" s="2"/>
    </row>
    <row r="40" spans="1:26">
      <c r="A40" s="2"/>
      <c r="B40" s="2"/>
      <c r="C40" s="2"/>
      <c r="D40" s="2"/>
      <c r="E40" s="2"/>
      <c r="F40" s="2"/>
      <c r="G40" s="7"/>
      <c r="H40" s="7"/>
      <c r="I40" s="7"/>
      <c r="J40" s="7"/>
      <c r="K40" s="641"/>
      <c r="L40" s="641"/>
      <c r="M40" s="641"/>
      <c r="N40" s="641"/>
      <c r="O40" s="641"/>
      <c r="P40" s="641"/>
      <c r="Q40" s="2"/>
      <c r="R40" s="2"/>
      <c r="S40" s="2"/>
      <c r="T40" s="2"/>
      <c r="U40" s="2"/>
      <c r="V40" s="2"/>
      <c r="W40" s="2"/>
      <c r="X40" s="2"/>
      <c r="Y40" s="2"/>
      <c r="Z40" s="2"/>
    </row>
    <row r="41" spans="1:26">
      <c r="A41" s="2"/>
      <c r="B41" s="2"/>
      <c r="C41" s="2"/>
      <c r="D41" s="2"/>
      <c r="E41" s="2"/>
      <c r="F41" s="2"/>
      <c r="G41" s="7"/>
      <c r="H41" s="7"/>
      <c r="I41" s="7"/>
      <c r="J41" s="7"/>
      <c r="K41" s="641"/>
      <c r="L41" s="641"/>
      <c r="M41" s="641"/>
      <c r="N41" s="641"/>
      <c r="O41" s="641"/>
      <c r="P41" s="641"/>
      <c r="Q41" s="2"/>
      <c r="R41" s="2"/>
      <c r="S41" s="2"/>
      <c r="T41" s="2"/>
      <c r="U41" s="2"/>
      <c r="V41" s="2"/>
      <c r="W41" s="2"/>
      <c r="X41" s="2"/>
      <c r="Y41" s="2"/>
      <c r="Z41" s="2"/>
    </row>
    <row r="42" spans="1:26">
      <c r="A42" s="2"/>
      <c r="B42" s="2"/>
      <c r="C42" s="2"/>
      <c r="D42" s="2"/>
      <c r="E42" s="2"/>
      <c r="F42" s="2"/>
      <c r="G42" s="7"/>
      <c r="H42" s="7"/>
      <c r="I42" s="7"/>
      <c r="J42" s="7"/>
      <c r="K42" s="641"/>
      <c r="L42" s="641"/>
      <c r="M42" s="641"/>
      <c r="N42" s="641"/>
      <c r="O42" s="641"/>
      <c r="P42" s="641"/>
      <c r="Q42" s="2"/>
      <c r="R42" s="2"/>
      <c r="S42" s="2"/>
      <c r="T42" s="2"/>
      <c r="U42" s="2"/>
      <c r="V42" s="2"/>
      <c r="W42" s="2"/>
      <c r="X42" s="2"/>
      <c r="Y42" s="2"/>
      <c r="Z42" s="2"/>
    </row>
    <row r="43" spans="1:26">
      <c r="A43" s="2"/>
      <c r="B43" s="2"/>
      <c r="C43" s="2"/>
      <c r="D43" s="2"/>
      <c r="E43" s="2"/>
      <c r="F43" s="2"/>
      <c r="G43" s="7"/>
      <c r="H43" s="7"/>
      <c r="I43" s="7"/>
      <c r="J43" s="7"/>
      <c r="K43" s="641"/>
      <c r="L43" s="641"/>
      <c r="M43" s="641"/>
      <c r="N43" s="641"/>
      <c r="O43" s="641"/>
      <c r="P43" s="641"/>
      <c r="Q43" s="2"/>
      <c r="R43" s="2"/>
      <c r="S43" s="2"/>
      <c r="T43" s="2"/>
      <c r="U43" s="2"/>
      <c r="V43" s="2"/>
      <c r="W43" s="2"/>
      <c r="X43" s="2"/>
      <c r="Y43" s="2"/>
      <c r="Z43" s="2"/>
    </row>
    <row r="44" spans="1:26">
      <c r="A44" s="2"/>
      <c r="B44" s="2"/>
      <c r="C44" s="2"/>
      <c r="D44" s="2"/>
      <c r="E44" s="2"/>
      <c r="F44" s="2"/>
      <c r="G44" s="7"/>
      <c r="H44" s="7"/>
      <c r="I44" s="7"/>
      <c r="J44" s="7"/>
      <c r="K44" s="641"/>
      <c r="L44" s="641"/>
      <c r="M44" s="641"/>
      <c r="N44" s="641"/>
      <c r="O44" s="641"/>
      <c r="P44" s="641"/>
      <c r="Q44" s="2"/>
      <c r="R44" s="2"/>
      <c r="S44" s="2"/>
      <c r="T44" s="2"/>
      <c r="U44" s="2"/>
      <c r="V44" s="2"/>
      <c r="W44" s="2"/>
      <c r="X44" s="2"/>
      <c r="Y44" s="2"/>
      <c r="Z44" s="2"/>
    </row>
    <row r="45" spans="1:26">
      <c r="A45" s="2"/>
      <c r="B45" s="2"/>
      <c r="C45" s="2"/>
      <c r="D45" s="2"/>
      <c r="E45" s="2"/>
      <c r="F45" s="2"/>
      <c r="G45" s="7"/>
      <c r="H45" s="7"/>
      <c r="I45" s="7"/>
      <c r="J45" s="7"/>
      <c r="K45" s="641"/>
      <c r="L45" s="641"/>
      <c r="M45" s="641"/>
      <c r="N45" s="641"/>
      <c r="O45" s="641"/>
      <c r="P45" s="641"/>
      <c r="Q45" s="2"/>
      <c r="R45" s="2"/>
      <c r="S45" s="2"/>
      <c r="T45" s="2"/>
      <c r="U45" s="2"/>
      <c r="V45" s="2"/>
      <c r="W45" s="2"/>
      <c r="X45" s="2"/>
      <c r="Y45" s="2"/>
      <c r="Z45" s="2"/>
    </row>
    <row r="46" spans="1:26">
      <c r="A46" s="2"/>
      <c r="B46" s="2"/>
      <c r="C46" s="2"/>
      <c r="D46" s="2"/>
      <c r="E46" s="2"/>
      <c r="F46" s="2"/>
      <c r="G46" s="7"/>
      <c r="H46" s="7"/>
      <c r="I46" s="7"/>
      <c r="J46" s="7"/>
      <c r="K46" s="641"/>
      <c r="L46" s="641"/>
      <c r="M46" s="641"/>
      <c r="N46" s="641"/>
      <c r="O46" s="641"/>
      <c r="P46" s="641"/>
      <c r="Q46" s="2"/>
      <c r="R46" s="2"/>
      <c r="S46" s="2"/>
      <c r="T46" s="2"/>
      <c r="U46" s="2"/>
      <c r="V46" s="2"/>
      <c r="W46" s="2"/>
      <c r="X46" s="2"/>
      <c r="Y46" s="2"/>
      <c r="Z46" s="2"/>
    </row>
    <row r="47" spans="1:26">
      <c r="A47" s="2"/>
      <c r="B47" s="2"/>
      <c r="C47" s="2"/>
      <c r="D47" s="2"/>
      <c r="E47" s="2"/>
      <c r="F47" s="2"/>
      <c r="G47" s="7"/>
      <c r="H47" s="7"/>
      <c r="I47" s="7"/>
      <c r="J47" s="7"/>
      <c r="K47" s="641"/>
      <c r="L47" s="641"/>
      <c r="M47" s="641"/>
      <c r="N47" s="641"/>
      <c r="O47" s="641"/>
      <c r="P47" s="641"/>
      <c r="Q47" s="2"/>
      <c r="R47" s="2"/>
      <c r="S47" s="2"/>
      <c r="T47" s="2"/>
      <c r="U47" s="2"/>
      <c r="V47" s="2"/>
      <c r="W47" s="2"/>
      <c r="X47" s="2"/>
      <c r="Y47" s="2"/>
      <c r="Z47" s="2"/>
    </row>
    <row r="48" spans="1:26">
      <c r="A48" s="2"/>
      <c r="B48" s="2"/>
      <c r="C48" s="2"/>
      <c r="D48" s="2"/>
      <c r="E48" s="2"/>
      <c r="F48" s="2"/>
      <c r="G48" s="7"/>
      <c r="H48" s="7"/>
      <c r="I48" s="7"/>
      <c r="J48" s="7"/>
      <c r="K48" s="641"/>
      <c r="L48" s="641"/>
      <c r="M48" s="641"/>
      <c r="N48" s="641"/>
      <c r="O48" s="641"/>
      <c r="P48" s="641"/>
      <c r="Q48" s="2"/>
      <c r="R48" s="2"/>
      <c r="S48" s="2"/>
      <c r="T48" s="2"/>
      <c r="U48" s="2"/>
      <c r="V48" s="2"/>
      <c r="W48" s="2"/>
      <c r="X48" s="2"/>
      <c r="Y48" s="2"/>
      <c r="Z48" s="2"/>
    </row>
    <row r="49" spans="1:26">
      <c r="A49" s="2"/>
      <c r="B49" s="2"/>
      <c r="C49" s="2"/>
      <c r="D49" s="2"/>
      <c r="E49" s="2"/>
      <c r="F49" s="2"/>
      <c r="G49" s="7"/>
      <c r="H49" s="7"/>
      <c r="I49" s="7"/>
      <c r="J49" s="7"/>
      <c r="K49" s="641"/>
      <c r="L49" s="641"/>
      <c r="M49" s="641"/>
      <c r="N49" s="641"/>
      <c r="O49" s="641"/>
      <c r="P49" s="641"/>
      <c r="Q49" s="2"/>
      <c r="R49" s="2"/>
      <c r="S49" s="2"/>
      <c r="T49" s="2"/>
      <c r="U49" s="2"/>
      <c r="V49" s="2"/>
      <c r="W49" s="2"/>
      <c r="X49" s="2"/>
      <c r="Y49" s="2"/>
      <c r="Z49" s="2"/>
    </row>
    <row r="50" spans="1:26">
      <c r="A50" s="2"/>
      <c r="B50" s="2"/>
      <c r="C50" s="2"/>
      <c r="D50" s="2"/>
      <c r="E50" s="2"/>
      <c r="F50" s="2"/>
      <c r="G50" s="7"/>
      <c r="H50" s="7"/>
      <c r="I50" s="7"/>
      <c r="J50" s="7"/>
      <c r="K50" s="641"/>
      <c r="L50" s="641"/>
      <c r="M50" s="641"/>
      <c r="N50" s="641"/>
      <c r="O50" s="641"/>
      <c r="P50" s="641"/>
      <c r="Q50" s="2"/>
      <c r="R50" s="2"/>
      <c r="S50" s="2"/>
      <c r="T50" s="2"/>
      <c r="U50" s="2"/>
      <c r="V50" s="2"/>
      <c r="W50" s="2"/>
      <c r="X50" s="2"/>
      <c r="Y50" s="2"/>
      <c r="Z50" s="2"/>
    </row>
    <row r="51" spans="1:26">
      <c r="A51" s="2"/>
      <c r="B51" s="2"/>
      <c r="C51" s="2"/>
      <c r="D51" s="2"/>
      <c r="E51" s="2"/>
      <c r="F51" s="2"/>
      <c r="G51" s="7"/>
      <c r="H51" s="7"/>
      <c r="I51" s="7"/>
      <c r="J51" s="7"/>
      <c r="K51" s="641"/>
      <c r="L51" s="641"/>
      <c r="M51" s="641"/>
      <c r="N51" s="641"/>
      <c r="O51" s="641"/>
      <c r="P51" s="641"/>
      <c r="Q51" s="2"/>
      <c r="R51" s="2"/>
      <c r="S51" s="2"/>
      <c r="T51" s="2"/>
      <c r="U51" s="2"/>
      <c r="V51" s="2"/>
      <c r="W51" s="2"/>
      <c r="X51" s="2"/>
      <c r="Y51" s="2"/>
      <c r="Z51" s="2"/>
    </row>
  </sheetData>
  <mergeCells count="1">
    <mergeCell ref="N30:O30"/>
  </mergeCells>
  <phoneticPr fontId="11" type="noConversion"/>
  <pageMargins left="0.70866141732283472" right="0.70866141732283472" top="0.74803149606299213" bottom="0.74803149606299213" header="0.31496062992125984" footer="0.31496062992125984"/>
  <pageSetup scale="20" orientation="landscape"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43"/>
  <sheetViews>
    <sheetView showGridLines="0" zoomScale="85" zoomScaleNormal="85" workbookViewId="0">
      <selection activeCell="A44" sqref="A44:XFD1048576"/>
    </sheetView>
  </sheetViews>
  <sheetFormatPr baseColWidth="10" defaultRowHeight="14.4"/>
  <cols>
    <col min="1" max="1" width="31.44140625" customWidth="1"/>
    <col min="9" max="9" width="11.44140625"/>
  </cols>
  <sheetData>
    <row r="1" spans="1:10">
      <c r="A1" s="1" t="s">
        <v>126</v>
      </c>
      <c r="D1" s="1"/>
      <c r="E1" s="1"/>
      <c r="F1" s="1"/>
      <c r="G1" s="1"/>
      <c r="H1" s="1"/>
      <c r="I1" s="500"/>
    </row>
    <row r="2" spans="1:10">
      <c r="A2" s="1"/>
      <c r="D2" s="1"/>
      <c r="E2" s="1"/>
      <c r="F2" s="1"/>
      <c r="G2" s="1"/>
      <c r="H2" s="1"/>
      <c r="I2" s="500"/>
    </row>
    <row r="3" spans="1:10" ht="24">
      <c r="A3" t="s">
        <v>127</v>
      </c>
      <c r="B3">
        <v>2008</v>
      </c>
      <c r="C3">
        <v>2009</v>
      </c>
      <c r="D3">
        <v>2010</v>
      </c>
      <c r="E3">
        <v>2011</v>
      </c>
      <c r="F3">
        <v>2012</v>
      </c>
      <c r="G3">
        <v>2013</v>
      </c>
      <c r="H3">
        <v>2014</v>
      </c>
      <c r="I3" s="52">
        <v>2015</v>
      </c>
      <c r="J3" s="42" t="s">
        <v>394</v>
      </c>
    </row>
    <row r="4" spans="1:10">
      <c r="B4" t="s">
        <v>4</v>
      </c>
      <c r="C4" t="s">
        <v>128</v>
      </c>
      <c r="D4" t="s">
        <v>129</v>
      </c>
      <c r="E4" t="s">
        <v>130</v>
      </c>
      <c r="F4" t="s">
        <v>4</v>
      </c>
      <c r="G4" t="s">
        <v>4</v>
      </c>
      <c r="H4" t="s">
        <v>130</v>
      </c>
      <c r="I4" s="52"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0">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0">
        <v>5669133</v>
      </c>
      <c r="J6" s="680">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0">
        <v>2515585</v>
      </c>
      <c r="J7" s="680">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0">
        <v>2253492</v>
      </c>
      <c r="J8" s="680">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0">
        <v>2023573</v>
      </c>
      <c r="J9" s="680">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0">
        <v>2474440</v>
      </c>
      <c r="J10" s="680">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0">
        <v>317950</v>
      </c>
      <c r="J11" s="680">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0">
        <v>231636</v>
      </c>
      <c r="J12" s="680">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0">
        <v>287799</v>
      </c>
      <c r="J13" s="680">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0">
        <v>282182</v>
      </c>
      <c r="J14" s="680">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0">
        <v>1553457</v>
      </c>
      <c r="J15" s="680">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0">
        <f t="shared" si="1"/>
        <v>2911504</v>
      </c>
      <c r="J16" s="680">
        <f t="shared" si="0"/>
        <v>0.10913538988381735</v>
      </c>
    </row>
    <row r="17" spans="1:10" ht="15" thickBot="1">
      <c r="A17" s="227" t="s">
        <v>32</v>
      </c>
      <c r="B17" s="228">
        <v>22185545.975599959</v>
      </c>
      <c r="C17" s="228">
        <v>28653233.713899985</v>
      </c>
      <c r="D17" s="228">
        <v>22374057.398589883</v>
      </c>
      <c r="E17" s="228">
        <v>24825398.954816137</v>
      </c>
      <c r="F17" s="228">
        <v>25186127.559616279</v>
      </c>
      <c r="G17" s="228">
        <v>28627508.448764794</v>
      </c>
      <c r="H17" s="204">
        <v>32528941.140182778</v>
      </c>
      <c r="I17" s="501">
        <v>26677909</v>
      </c>
      <c r="J17" s="229">
        <f t="shared" si="0"/>
        <v>1</v>
      </c>
    </row>
    <row r="18" spans="1:10">
      <c r="D18" s="1"/>
      <c r="E18" s="1"/>
      <c r="F18" s="1"/>
      <c r="G18" s="4">
        <f>G17/F17-1</f>
        <v>0.1366379520234966</v>
      </c>
      <c r="H18" s="4">
        <f>H17/G17-1</f>
        <v>0.13628264920087108</v>
      </c>
      <c r="I18" s="502">
        <f>I17/H17-1</f>
        <v>-0.17987158312248408</v>
      </c>
    </row>
    <row r="19" spans="1:10">
      <c r="A19" s="203" t="s">
        <v>392</v>
      </c>
      <c r="I19" s="52"/>
    </row>
    <row r="20" spans="1:10">
      <c r="I20" s="52"/>
    </row>
    <row r="21" spans="1:10">
      <c r="I21" s="52"/>
    </row>
    <row r="22" spans="1:10">
      <c r="I22" s="52"/>
    </row>
    <row r="23" spans="1:10">
      <c r="I23" s="52"/>
    </row>
    <row r="24" spans="1:10">
      <c r="I24" s="52"/>
    </row>
    <row r="25" spans="1:10">
      <c r="I25" s="52"/>
    </row>
    <row r="26" spans="1:10">
      <c r="I26" s="52"/>
    </row>
    <row r="27" spans="1:10">
      <c r="I27" s="52"/>
    </row>
    <row r="28" spans="1:10">
      <c r="I28" s="52"/>
    </row>
    <row r="29" spans="1:10">
      <c r="I29" s="52"/>
    </row>
    <row r="30" spans="1:10">
      <c r="I30" s="52"/>
    </row>
    <row r="31" spans="1:10">
      <c r="I31" s="52"/>
    </row>
    <row r="32" spans="1:10">
      <c r="I32" s="52"/>
    </row>
    <row r="33" spans="9:9">
      <c r="I33" s="52"/>
    </row>
    <row r="34" spans="9:9">
      <c r="I34" s="52"/>
    </row>
    <row r="35" spans="9:9">
      <c r="I35" s="52"/>
    </row>
    <row r="36" spans="9:9">
      <c r="I36" s="52"/>
    </row>
    <row r="37" spans="9:9">
      <c r="I37" s="52"/>
    </row>
    <row r="38" spans="9:9">
      <c r="I38" s="52"/>
    </row>
    <row r="39" spans="9:9">
      <c r="I39" s="52"/>
    </row>
    <row r="40" spans="9:9">
      <c r="I40" s="52"/>
    </row>
    <row r="41" spans="9:9">
      <c r="I41" s="52"/>
    </row>
    <row r="42" spans="9:9">
      <c r="I42" s="52"/>
    </row>
    <row r="43" spans="9:9">
      <c r="I43" s="52"/>
    </row>
  </sheetData>
  <sortState xmlns:xlrd2="http://schemas.microsoft.com/office/spreadsheetml/2017/richdata2" ref="A5:K14">
    <sortCondition descending="1" ref="G5:G14"/>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82" customWidth="1"/>
    <col min="12" max="12" width="13" style="2" customWidth="1"/>
    <col min="13" max="14" width="8" style="2" customWidth="1"/>
    <col min="15" max="15" width="6.5546875" style="2" customWidth="1"/>
    <col min="16" max="16384" width="10.44140625" style="2"/>
  </cols>
  <sheetData>
    <row r="2" spans="3:13" s="53" customFormat="1" ht="27.6">
      <c r="C2" s="53" t="s">
        <v>158</v>
      </c>
      <c r="D2" s="53" t="s">
        <v>0</v>
      </c>
      <c r="E2" s="53" t="s">
        <v>1</v>
      </c>
      <c r="F2" s="53" t="s">
        <v>2</v>
      </c>
      <c r="G2" s="53" t="s">
        <v>3</v>
      </c>
      <c r="H2" s="53" t="s">
        <v>34</v>
      </c>
      <c r="I2" s="53" t="s">
        <v>35</v>
      </c>
      <c r="J2" s="53" t="s">
        <v>325</v>
      </c>
      <c r="K2" s="503" t="s">
        <v>391</v>
      </c>
      <c r="L2" s="53" t="s">
        <v>394</v>
      </c>
    </row>
    <row r="3" spans="3:13">
      <c r="C3" s="2" t="s">
        <v>86</v>
      </c>
      <c r="D3" s="39">
        <v>560.33759999999995</v>
      </c>
      <c r="E3" s="39">
        <v>533.53880000000015</v>
      </c>
      <c r="F3" s="39">
        <v>1640.234526327001</v>
      </c>
      <c r="G3" s="39">
        <v>622.01129999999989</v>
      </c>
      <c r="H3" s="39">
        <v>803.1498773385</v>
      </c>
      <c r="I3" s="39">
        <v>1295.3380774032905</v>
      </c>
      <c r="J3" s="39">
        <v>838.60681599999998</v>
      </c>
      <c r="K3" s="504">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04">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04">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04">
        <v>6684.8667799999967</v>
      </c>
      <c r="L6" s="5">
        <f t="shared" si="0"/>
        <v>0.17691364538837881</v>
      </c>
      <c r="M6" s="5"/>
    </row>
    <row r="7" spans="3:13">
      <c r="C7" s="2" t="s">
        <v>74</v>
      </c>
      <c r="D7" s="39"/>
      <c r="E7" s="39"/>
      <c r="F7" s="39"/>
      <c r="G7" s="39">
        <v>55</v>
      </c>
      <c r="H7" s="39">
        <v>0</v>
      </c>
      <c r="I7" s="39">
        <v>22.066666666666698</v>
      </c>
      <c r="J7" s="39"/>
      <c r="K7" s="504"/>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88">
        <f>SUM(K3:K7)</f>
        <v>37786.043949999999</v>
      </c>
      <c r="L8" s="5">
        <f t="shared" si="0"/>
        <v>1</v>
      </c>
      <c r="M8" s="5"/>
    </row>
    <row r="9" spans="3:13" ht="35.25" customHeight="1">
      <c r="I9" s="5796" t="s">
        <v>326</v>
      </c>
      <c r="J9" s="5796"/>
      <c r="K9" s="503" t="s">
        <v>568</v>
      </c>
    </row>
    <row r="11" spans="3:13" ht="14.4">
      <c r="C11" s="203" t="s">
        <v>567</v>
      </c>
    </row>
  </sheetData>
  <mergeCells count="1">
    <mergeCell ref="I9:J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2" customWidth="1"/>
    <col min="12" max="12" width="15.33203125" customWidth="1"/>
    <col min="13" max="14" width="11" bestFit="1" customWidth="1"/>
  </cols>
  <sheetData>
    <row r="2" spans="3:12" s="49" customFormat="1" ht="28.8">
      <c r="C2" s="49" t="s">
        <v>91</v>
      </c>
      <c r="D2" s="49" t="s">
        <v>0</v>
      </c>
      <c r="E2" s="49" t="s">
        <v>1</v>
      </c>
      <c r="F2" s="49" t="s">
        <v>2</v>
      </c>
      <c r="G2" s="49" t="s">
        <v>3</v>
      </c>
      <c r="H2" s="49" t="s">
        <v>34</v>
      </c>
      <c r="I2" s="49" t="s">
        <v>35</v>
      </c>
      <c r="J2" s="49" t="s">
        <v>325</v>
      </c>
      <c r="K2" s="491" t="s">
        <v>391</v>
      </c>
      <c r="L2" s="50" t="s">
        <v>1384</v>
      </c>
    </row>
    <row r="3" spans="3:12">
      <c r="C3" t="s">
        <v>153</v>
      </c>
      <c r="D3" s="38">
        <v>13831.08239999997</v>
      </c>
      <c r="E3" s="38">
        <v>16187.176299999996</v>
      </c>
      <c r="F3" s="38">
        <v>18185.503135580999</v>
      </c>
      <c r="G3" s="38">
        <v>15775.352999999981</v>
      </c>
      <c r="H3" s="38">
        <v>10917.000000000038</v>
      </c>
      <c r="I3" s="38">
        <v>17775.471720662877</v>
      </c>
      <c r="J3" s="38">
        <v>17881</v>
      </c>
      <c r="K3" s="481">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1">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1">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1">
        <v>3573.8938399999979</v>
      </c>
      <c r="L6" s="4">
        <f t="shared" si="0"/>
        <v>7.5724509937354953E-2</v>
      </c>
    </row>
    <row r="7" spans="3:12">
      <c r="C7" t="s">
        <v>157</v>
      </c>
      <c r="D7" s="38">
        <v>4019.3683999999985</v>
      </c>
      <c r="E7" s="38"/>
      <c r="F7" s="38"/>
      <c r="G7" s="38"/>
      <c r="H7" s="38"/>
      <c r="I7" s="38"/>
      <c r="J7" s="38"/>
      <c r="K7" s="481"/>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1">
        <f>SUM(K3:K7)</f>
        <v>47195.998269999945</v>
      </c>
      <c r="L8" s="4">
        <f t="shared" si="0"/>
        <v>1</v>
      </c>
    </row>
    <row r="9" spans="3:12">
      <c r="C9" s="203" t="s">
        <v>567</v>
      </c>
    </row>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X25" sqref="X25"/>
    </sheetView>
  </sheetViews>
  <sheetFormatPr baseColWidth="10" defaultColWidth="11.44140625" defaultRowHeight="13.8"/>
  <cols>
    <col min="1" max="1" width="1.33203125" style="2" customWidth="1"/>
    <col min="2" max="2" width="1.33203125" style="7" customWidth="1"/>
    <col min="3" max="3" width="24.44140625" style="263"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82" customWidth="1"/>
    <col min="13" max="13" width="10" style="2" customWidth="1"/>
    <col min="14" max="14" width="13.109375" style="250" hidden="1" customWidth="1"/>
    <col min="15" max="16" width="12.6640625" style="2" customWidth="1"/>
    <col min="17" max="16384" width="11.44140625" style="2"/>
  </cols>
  <sheetData>
    <row r="1" spans="3:16" ht="27.6">
      <c r="C1" s="263" t="s">
        <v>92</v>
      </c>
    </row>
    <row r="3" spans="3:16" ht="27.6">
      <c r="C3" s="263" t="s">
        <v>93</v>
      </c>
      <c r="E3" s="264" t="s">
        <v>0</v>
      </c>
      <c r="F3" s="265" t="s">
        <v>1</v>
      </c>
      <c r="G3" s="265" t="s">
        <v>2</v>
      </c>
      <c r="H3" s="265" t="s">
        <v>3</v>
      </c>
      <c r="I3" s="265">
        <v>2012</v>
      </c>
      <c r="J3" s="265">
        <v>2013</v>
      </c>
      <c r="K3" s="265">
        <v>2014</v>
      </c>
      <c r="L3" s="483">
        <v>2015</v>
      </c>
      <c r="M3" s="266" t="s">
        <v>524</v>
      </c>
      <c r="N3" s="267">
        <v>2015</v>
      </c>
      <c r="O3" s="5797" t="s">
        <v>523</v>
      </c>
      <c r="P3" s="5797"/>
    </row>
    <row r="4" spans="3:16" ht="27.6">
      <c r="E4" s="268" t="s">
        <v>0</v>
      </c>
      <c r="F4" s="220" t="s">
        <v>1</v>
      </c>
      <c r="G4" s="220" t="s">
        <v>2</v>
      </c>
      <c r="H4" s="220" t="s">
        <v>3</v>
      </c>
      <c r="I4" s="220" t="s">
        <v>34</v>
      </c>
      <c r="J4" s="220" t="s">
        <v>35</v>
      </c>
      <c r="K4" s="220" t="s">
        <v>325</v>
      </c>
      <c r="L4" s="484" t="s">
        <v>324</v>
      </c>
      <c r="M4" s="266"/>
      <c r="N4" s="133" t="s">
        <v>522</v>
      </c>
      <c r="O4" s="5797"/>
      <c r="P4" s="5797"/>
    </row>
    <row r="5" spans="3:16">
      <c r="C5" s="269" t="s">
        <v>79</v>
      </c>
      <c r="D5" s="270" t="s">
        <v>79</v>
      </c>
      <c r="E5" s="3">
        <v>6685.6864000000141</v>
      </c>
      <c r="F5" s="3">
        <v>8671.939399999992</v>
      </c>
      <c r="G5" s="3">
        <v>13814.049797596965</v>
      </c>
      <c r="H5" s="3">
        <v>11270.568300000012</v>
      </c>
      <c r="I5" s="3">
        <v>12734.583781630261</v>
      </c>
      <c r="J5" s="3">
        <v>20514.59729052132</v>
      </c>
      <c r="K5" s="259">
        <v>18484.630589999968</v>
      </c>
      <c r="L5" s="485">
        <v>14582.115569999949</v>
      </c>
      <c r="M5" s="281">
        <f>L5/K5-1</f>
        <v>-0.21112215367242704</v>
      </c>
      <c r="N5" s="282">
        <f t="shared" ref="N5:N18" si="0">L5/$L$18</f>
        <v>0.30896932164838087</v>
      </c>
      <c r="O5" s="292">
        <f>L5/$L$18</f>
        <v>0.30896932164838087</v>
      </c>
      <c r="P5" s="276">
        <f>O5</f>
        <v>0.30896932164838087</v>
      </c>
    </row>
    <row r="6" spans="3:16">
      <c r="C6" s="269" t="s">
        <v>78</v>
      </c>
      <c r="D6" s="270" t="s">
        <v>78</v>
      </c>
      <c r="E6" s="3">
        <v>18599.029899999994</v>
      </c>
      <c r="F6" s="3">
        <v>21591.399099999966</v>
      </c>
      <c r="G6" s="3">
        <v>19299.052366580272</v>
      </c>
      <c r="H6" s="3">
        <v>15854.946100000025</v>
      </c>
      <c r="I6" s="3">
        <v>11685.96936968867</v>
      </c>
      <c r="J6" s="3">
        <v>16247.094692138864</v>
      </c>
      <c r="K6" s="260">
        <v>19408.13392900004</v>
      </c>
      <c r="L6" s="486">
        <v>23203.928379999987</v>
      </c>
      <c r="M6" s="281">
        <f t="shared" ref="M6:M18" si="1">L6/K6-1</f>
        <v>0.195577507084707</v>
      </c>
      <c r="N6" s="282">
        <f t="shared" si="0"/>
        <v>0.49165033542154496</v>
      </c>
      <c r="O6" s="292">
        <f t="shared" ref="O6:O17" si="2">L6/$L$18</f>
        <v>0.49165033542154496</v>
      </c>
      <c r="P6" s="276">
        <f>O6</f>
        <v>0.49165033542154496</v>
      </c>
    </row>
    <row r="7" spans="3:16">
      <c r="C7" s="271" t="s">
        <v>80</v>
      </c>
      <c r="D7" s="272" t="s">
        <v>98</v>
      </c>
      <c r="E7" s="3">
        <v>3755.5793999999978</v>
      </c>
      <c r="F7" s="3">
        <v>5804.1046000000006</v>
      </c>
      <c r="G7" s="3">
        <v>4066.9811061119908</v>
      </c>
      <c r="H7" s="3">
        <v>5377.2943999999916</v>
      </c>
      <c r="I7" s="3">
        <v>6945.8813039114229</v>
      </c>
      <c r="J7" s="3">
        <v>7527.4618692054491</v>
      </c>
      <c r="K7" s="260">
        <v>5941.8221759999933</v>
      </c>
      <c r="L7" s="486">
        <v>4632.1667999999963</v>
      </c>
      <c r="M7" s="281">
        <f t="shared" si="1"/>
        <v>-0.22041308830983075</v>
      </c>
      <c r="N7" s="282">
        <f t="shared" si="0"/>
        <v>9.8147448296362308E-2</v>
      </c>
      <c r="O7" s="293">
        <f t="shared" si="2"/>
        <v>9.8147448296362308E-2</v>
      </c>
      <c r="P7" s="277">
        <f>SUM(O7:O10)</f>
        <v>0.14763681509898588</v>
      </c>
    </row>
    <row r="8" spans="3:16" ht="27.6">
      <c r="C8" s="271" t="s">
        <v>525</v>
      </c>
      <c r="D8" s="272"/>
      <c r="E8" s="3">
        <v>2195.2924999999996</v>
      </c>
      <c r="F8" s="3">
        <v>2529.1841000000004</v>
      </c>
      <c r="G8" s="3">
        <v>1310.7552781610018</v>
      </c>
      <c r="H8" s="3">
        <v>1916.6378999999999</v>
      </c>
      <c r="I8" s="3">
        <v>3350.6242469731073</v>
      </c>
      <c r="J8" s="3">
        <v>3978.2547799631307</v>
      </c>
      <c r="K8" s="260">
        <v>3434.4950699999981</v>
      </c>
      <c r="L8" s="486">
        <v>1229.5067799999997</v>
      </c>
      <c r="M8" s="281">
        <f t="shared" si="1"/>
        <v>-0.64201236136874107</v>
      </c>
      <c r="N8" s="282">
        <f t="shared" si="0"/>
        <v>2.6051081131205592E-2</v>
      </c>
      <c r="O8" s="293">
        <f t="shared" si="2"/>
        <v>2.6051081131205592E-2</v>
      </c>
      <c r="P8" s="277"/>
    </row>
    <row r="9" spans="3:16" ht="27.6">
      <c r="C9" s="271" t="s">
        <v>96</v>
      </c>
      <c r="D9" s="272"/>
      <c r="E9" s="3">
        <v>6039.7454000000107</v>
      </c>
      <c r="F9" s="3">
        <v>485.97739999999999</v>
      </c>
      <c r="G9" s="3">
        <v>2071.0954591760042</v>
      </c>
      <c r="H9" s="3">
        <v>2049.5744</v>
      </c>
      <c r="I9" s="3">
        <v>3062.664985723135</v>
      </c>
      <c r="J9" s="3">
        <v>1979.9713282736864</v>
      </c>
      <c r="K9" s="260">
        <v>1254.1661980000003</v>
      </c>
      <c r="L9" s="486">
        <v>1013.3860500000001</v>
      </c>
      <c r="M9" s="281">
        <f t="shared" si="1"/>
        <v>-0.19198424290494254</v>
      </c>
      <c r="N9" s="282">
        <f t="shared" si="0"/>
        <v>2.1471863868682346E-2</v>
      </c>
      <c r="O9" s="293">
        <f t="shared" si="2"/>
        <v>2.1471863868682346E-2</v>
      </c>
      <c r="P9" s="277"/>
    </row>
    <row r="10" spans="3:16">
      <c r="C10" s="271" t="s">
        <v>83</v>
      </c>
      <c r="D10" s="272"/>
      <c r="E10" s="3">
        <v>2526.0281999999984</v>
      </c>
      <c r="F10" s="3">
        <v>2782.2850000000012</v>
      </c>
      <c r="G10" s="3">
        <v>2245.0408197939973</v>
      </c>
      <c r="H10" s="3">
        <v>1021.1430000000001</v>
      </c>
      <c r="I10" s="3">
        <v>1317.1319469792645</v>
      </c>
      <c r="J10" s="3">
        <v>1525.7935509627464</v>
      </c>
      <c r="K10" s="260">
        <v>1043.6701149999999</v>
      </c>
      <c r="L10" s="486">
        <v>92.807240000000007</v>
      </c>
      <c r="M10" s="281">
        <f t="shared" si="1"/>
        <v>-0.91107607790417566</v>
      </c>
      <c r="N10" s="282">
        <f t="shared" si="0"/>
        <v>1.9664218027356218E-3</v>
      </c>
      <c r="O10" s="293">
        <f t="shared" si="2"/>
        <v>1.9664218027356218E-3</v>
      </c>
      <c r="P10" s="277"/>
    </row>
    <row r="11" spans="3:16">
      <c r="C11" s="269" t="s">
        <v>95</v>
      </c>
      <c r="D11" s="270" t="s">
        <v>95</v>
      </c>
      <c r="E11" s="3">
        <v>2908.9277999999977</v>
      </c>
      <c r="F11" s="3">
        <v>949.16560000000027</v>
      </c>
      <c r="G11" s="3">
        <v>824.50613755300014</v>
      </c>
      <c r="H11" s="3">
        <v>735.46170000000006</v>
      </c>
      <c r="I11" s="3">
        <v>299.12180513230919</v>
      </c>
      <c r="J11" s="3">
        <v>475.12098997040994</v>
      </c>
      <c r="K11" s="260">
        <v>279.54754600000001</v>
      </c>
      <c r="L11" s="486">
        <v>342.61894000000001</v>
      </c>
      <c r="M11" s="281">
        <f t="shared" si="1"/>
        <v>0.22561955882810714</v>
      </c>
      <c r="N11" s="282">
        <f t="shared" si="0"/>
        <v>7.259491324665703E-3</v>
      </c>
      <c r="O11" s="292">
        <f t="shared" si="2"/>
        <v>7.259491324665703E-3</v>
      </c>
      <c r="P11" s="276">
        <f>O11</f>
        <v>7.259491324665703E-3</v>
      </c>
    </row>
    <row r="12" spans="3:16">
      <c r="C12" s="269" t="s">
        <v>97</v>
      </c>
      <c r="D12" s="278" t="s">
        <v>51</v>
      </c>
      <c r="E12" s="3"/>
      <c r="F12" s="3">
        <v>454.88379999999995</v>
      </c>
      <c r="G12" s="3">
        <v>282.88467818999999</v>
      </c>
      <c r="H12" s="3">
        <v>905.04370000000017</v>
      </c>
      <c r="I12" s="3">
        <v>427.78181805599701</v>
      </c>
      <c r="J12" s="3">
        <v>433.27247050335285</v>
      </c>
      <c r="K12" s="260">
        <v>429.73559699999993</v>
      </c>
      <c r="L12" s="486">
        <v>216.55100000000002</v>
      </c>
      <c r="M12" s="281">
        <f t="shared" si="1"/>
        <v>-0.49608316948432818</v>
      </c>
      <c r="N12" s="282">
        <f t="shared" si="0"/>
        <v>4.5883339252864499E-3</v>
      </c>
      <c r="O12" s="294">
        <f t="shared" si="2"/>
        <v>4.5883339252864499E-3</v>
      </c>
      <c r="P12" s="279">
        <f>SUM(O12:O17)</f>
        <v>4.4484036506428487E-2</v>
      </c>
    </row>
    <row r="13" spans="3:16">
      <c r="C13" s="269" t="s">
        <v>94</v>
      </c>
      <c r="D13" s="278"/>
      <c r="E13" s="3">
        <v>285.65350000000001</v>
      </c>
      <c r="F13" s="3">
        <v>267.8854</v>
      </c>
      <c r="G13" s="3">
        <v>663.06366429000013</v>
      </c>
      <c r="H13" s="3">
        <v>360.35699999999997</v>
      </c>
      <c r="I13" s="3">
        <v>303.52209317228801</v>
      </c>
      <c r="J13" s="3">
        <v>419.48058144640879</v>
      </c>
      <c r="K13" s="260">
        <v>389.499776</v>
      </c>
      <c r="L13" s="486">
        <v>1062.7846100000002</v>
      </c>
      <c r="M13" s="281">
        <f t="shared" si="1"/>
        <v>1.7285885011651461</v>
      </c>
      <c r="N13" s="282">
        <f t="shared" si="0"/>
        <v>2.2518532268774233E-2</v>
      </c>
      <c r="O13" s="294">
        <f t="shared" si="2"/>
        <v>2.2518532268774233E-2</v>
      </c>
      <c r="P13" s="279"/>
    </row>
    <row r="14" spans="3:16">
      <c r="C14" s="269" t="s">
        <v>84</v>
      </c>
      <c r="D14" s="278"/>
      <c r="E14" s="3"/>
      <c r="F14" s="3">
        <v>277.05889999999999</v>
      </c>
      <c r="G14" s="3">
        <v>445.81000753899991</v>
      </c>
      <c r="H14" s="3">
        <v>534.32530000000008</v>
      </c>
      <c r="I14" s="3">
        <v>954.0830857913669</v>
      </c>
      <c r="J14" s="3">
        <v>202.6934082046985</v>
      </c>
      <c r="K14" s="260">
        <v>335.62633199999999</v>
      </c>
      <c r="L14" s="486">
        <v>312.58907999999997</v>
      </c>
      <c r="M14" s="281">
        <f t="shared" si="1"/>
        <v>-6.8639584572285695E-2</v>
      </c>
      <c r="N14" s="282">
        <f t="shared" si="0"/>
        <v>6.6232115318704595E-3</v>
      </c>
      <c r="O14" s="294">
        <f t="shared" si="2"/>
        <v>6.6232115318704595E-3</v>
      </c>
      <c r="P14" s="279"/>
    </row>
    <row r="15" spans="3:16">
      <c r="C15" s="273" t="s">
        <v>521</v>
      </c>
      <c r="D15" s="278"/>
      <c r="E15" s="3"/>
      <c r="F15" s="3"/>
      <c r="G15" s="3"/>
      <c r="H15" s="3"/>
      <c r="I15" s="3"/>
      <c r="J15" s="3"/>
      <c r="K15" s="261"/>
      <c r="L15" s="487">
        <v>507.54382000000004</v>
      </c>
      <c r="M15" s="281">
        <v>1</v>
      </c>
      <c r="N15" s="282">
        <f t="shared" si="0"/>
        <v>1.075395878049734E-2</v>
      </c>
      <c r="O15" s="294">
        <f t="shared" si="2"/>
        <v>1.075395878049734E-2</v>
      </c>
      <c r="P15" s="279"/>
    </row>
    <row r="16" spans="3:16">
      <c r="C16" s="269" t="s">
        <v>74</v>
      </c>
      <c r="D16" s="278"/>
      <c r="E16" s="3"/>
      <c r="F16" s="3"/>
      <c r="G16" s="3"/>
      <c r="H16" s="3"/>
      <c r="I16" s="3"/>
      <c r="J16" s="3">
        <v>115.38666666666671</v>
      </c>
      <c r="K16" s="3"/>
      <c r="L16" s="488"/>
      <c r="M16" s="281" t="s">
        <v>390</v>
      </c>
      <c r="N16" s="282">
        <f t="shared" si="0"/>
        <v>0</v>
      </c>
      <c r="O16" s="294">
        <f t="shared" si="2"/>
        <v>0</v>
      </c>
      <c r="P16" s="279"/>
    </row>
    <row r="17" spans="3:16" ht="14.4" thickBot="1">
      <c r="C17" s="269" t="s">
        <v>51</v>
      </c>
      <c r="D17" s="278"/>
      <c r="E17" s="3">
        <v>2588.0564999999992</v>
      </c>
      <c r="F17" s="3">
        <v>2982.1256000000012</v>
      </c>
      <c r="G17" s="3">
        <v>1069.7606837900003</v>
      </c>
      <c r="H17" s="3">
        <v>2971.9029</v>
      </c>
      <c r="I17" s="3">
        <v>4057.6247241568631</v>
      </c>
      <c r="J17" s="3">
        <v>1623.7351221117196</v>
      </c>
      <c r="K17" s="262">
        <v>1281.6725959999999</v>
      </c>
      <c r="L17" s="489"/>
      <c r="M17" s="283" t="s">
        <v>390</v>
      </c>
      <c r="N17" s="284">
        <f t="shared" si="0"/>
        <v>0</v>
      </c>
      <c r="O17" s="295">
        <f t="shared" si="2"/>
        <v>0</v>
      </c>
      <c r="P17" s="280"/>
    </row>
    <row r="18" spans="3:16" ht="14.4" thickBot="1">
      <c r="C18" s="274" t="s">
        <v>52</v>
      </c>
      <c r="D18" s="275" t="s">
        <v>52</v>
      </c>
      <c r="E18" s="258">
        <v>45583.999599999857</v>
      </c>
      <c r="F18" s="258">
        <v>46796.008900000117</v>
      </c>
      <c r="G18" s="258">
        <v>46092.999998783271</v>
      </c>
      <c r="H18" s="258">
        <v>42997.254700000252</v>
      </c>
      <c r="I18" s="258">
        <v>45224.999999999709</v>
      </c>
      <c r="J18" s="258">
        <v>55042.86274996835</v>
      </c>
      <c r="K18" s="258">
        <f>SUM(K5:K17)</f>
        <v>52282.999924999989</v>
      </c>
      <c r="L18" s="490">
        <v>47195.998269999654</v>
      </c>
      <c r="M18" s="285">
        <f t="shared" si="1"/>
        <v>-9.7297432478963386E-2</v>
      </c>
      <c r="N18" s="286">
        <f t="shared" si="0"/>
        <v>1</v>
      </c>
      <c r="O18" s="287">
        <f>K18/$K$18</f>
        <v>1</v>
      </c>
      <c r="P18" s="288">
        <f>O18</f>
        <v>1</v>
      </c>
    </row>
    <row r="19" spans="3:16">
      <c r="C19" s="289" t="s">
        <v>392</v>
      </c>
      <c r="D19" s="2"/>
    </row>
    <row r="20" spans="3:16">
      <c r="C20" s="2"/>
      <c r="D20" s="2"/>
    </row>
    <row r="21" spans="3:16">
      <c r="C21" s="290" t="s">
        <v>515</v>
      </c>
      <c r="D21" s="291"/>
      <c r="E21" s="36"/>
      <c r="F21" s="36"/>
      <c r="G21" s="36"/>
      <c r="H21" s="36"/>
      <c r="I21" s="36"/>
      <c r="J21" s="36"/>
      <c r="K21" s="36"/>
    </row>
    <row r="22" spans="3:16">
      <c r="C22" s="5798" t="s">
        <v>520</v>
      </c>
      <c r="D22" s="5798"/>
      <c r="E22" s="5798"/>
      <c r="F22" s="5798"/>
      <c r="G22" s="5798"/>
      <c r="H22" s="5798"/>
      <c r="I22" s="5798"/>
      <c r="J22" s="5798"/>
      <c r="K22" s="5798"/>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120"/>
      <c r="B1" s="2120"/>
      <c r="C1" s="2120"/>
      <c r="D1" s="2120"/>
      <c r="E1" s="2120"/>
      <c r="F1" s="2120"/>
      <c r="G1" s="2120"/>
      <c r="H1" s="2120"/>
      <c r="I1" s="2120"/>
      <c r="J1" s="2120"/>
      <c r="K1" s="2120"/>
      <c r="L1" s="2120"/>
    </row>
    <row r="3" spans="1:12" s="640" customFormat="1" ht="18">
      <c r="C3" s="640" t="s">
        <v>99</v>
      </c>
    </row>
    <row r="5" spans="1:12" ht="24.6">
      <c r="A5">
        <v>7</v>
      </c>
      <c r="C5" s="2" t="s">
        <v>100</v>
      </c>
      <c r="D5" s="469">
        <v>2008</v>
      </c>
      <c r="E5" s="469">
        <v>2009</v>
      </c>
      <c r="F5" s="469">
        <v>2010</v>
      </c>
      <c r="G5" s="469">
        <v>2011</v>
      </c>
      <c r="H5" s="469">
        <v>2012</v>
      </c>
      <c r="I5" s="469">
        <v>2013</v>
      </c>
      <c r="J5" s="2117">
        <v>2014</v>
      </c>
      <c r="K5" s="2117">
        <v>2015</v>
      </c>
      <c r="L5" s="40" t="s">
        <v>394</v>
      </c>
    </row>
    <row r="6" spans="1:12">
      <c r="D6" s="469" t="s">
        <v>0</v>
      </c>
      <c r="E6" s="469" t="s">
        <v>1</v>
      </c>
      <c r="F6" s="469" t="s">
        <v>2</v>
      </c>
      <c r="G6" s="469" t="s">
        <v>3</v>
      </c>
      <c r="H6" s="469" t="s">
        <v>34</v>
      </c>
      <c r="I6" s="469" t="s">
        <v>35</v>
      </c>
      <c r="J6" s="2117" t="s">
        <v>325</v>
      </c>
      <c r="K6" s="2117" t="s">
        <v>391</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367"/>
  <sheetViews>
    <sheetView showGridLines="0" tabSelected="1" topLeftCell="B270" zoomScaleNormal="100" workbookViewId="0">
      <selection activeCell="G240" sqref="G240:G270"/>
    </sheetView>
  </sheetViews>
  <sheetFormatPr baseColWidth="10" defaultColWidth="11.44140625" defaultRowHeight="14.4"/>
  <cols>
    <col min="1" max="2" width="17.88671875" customWidth="1"/>
    <col min="3" max="3" width="13.5546875" customWidth="1"/>
    <col min="4" max="12" width="10.5546875" customWidth="1"/>
    <col min="13" max="13" width="11.5546875" customWidth="1"/>
    <col min="14" max="14" width="10.5546875" customWidth="1"/>
    <col min="15" max="15" width="9.6640625" bestFit="1" customWidth="1"/>
    <col min="16" max="16" width="10.5546875" bestFit="1" customWidth="1"/>
    <col min="17" max="17" width="22" customWidth="1"/>
    <col min="18" max="26" width="13.33203125" customWidth="1"/>
  </cols>
  <sheetData>
    <row r="1" spans="1:26" hidden="1">
      <c r="A1" s="5446" t="s">
        <v>214</v>
      </c>
      <c r="B1" s="5446"/>
      <c r="C1" s="5446"/>
      <c r="D1" s="5446"/>
      <c r="E1" s="5446"/>
      <c r="F1" s="5446"/>
      <c r="G1" s="5446"/>
      <c r="H1" s="5446"/>
      <c r="I1" s="5446"/>
      <c r="J1" s="5446"/>
      <c r="K1" s="5446"/>
      <c r="L1" s="5446"/>
      <c r="M1" s="5446"/>
      <c r="N1" s="5446"/>
      <c r="O1" s="5446"/>
      <c r="P1" s="5446"/>
      <c r="Q1" s="98"/>
      <c r="R1" s="98"/>
      <c r="S1" s="98"/>
      <c r="T1" s="98"/>
      <c r="U1" s="98"/>
      <c r="V1" s="98"/>
      <c r="W1" s="98"/>
      <c r="X1" s="98"/>
      <c r="Y1" s="98"/>
      <c r="Z1" s="98"/>
    </row>
    <row r="2" spans="1:26" hidden="1">
      <c r="A2" s="5446" t="s">
        <v>215</v>
      </c>
      <c r="B2" s="5446"/>
      <c r="C2" s="5446"/>
      <c r="D2" s="5446"/>
      <c r="E2" s="5446"/>
      <c r="F2" s="5446"/>
      <c r="G2" s="5446"/>
      <c r="H2" s="5446"/>
      <c r="I2" s="5446"/>
      <c r="J2" s="5446"/>
      <c r="K2" s="5446"/>
      <c r="L2" s="5446"/>
      <c r="M2" s="5446"/>
      <c r="N2" s="5446"/>
      <c r="O2" s="5446"/>
      <c r="P2" s="5446"/>
      <c r="Q2" s="98"/>
      <c r="R2" s="98"/>
      <c r="S2" s="98"/>
      <c r="T2" s="98"/>
      <c r="U2" s="98"/>
      <c r="V2" s="98"/>
      <c r="W2" s="98"/>
      <c r="X2" s="98"/>
      <c r="Y2" s="98"/>
      <c r="Z2" s="98"/>
    </row>
    <row r="3" spans="1:26" hidden="1">
      <c r="A3" s="5446" t="s">
        <v>1457</v>
      </c>
      <c r="B3" s="5446"/>
      <c r="C3" s="5446"/>
      <c r="D3" s="5446"/>
      <c r="E3" s="5446"/>
      <c r="F3" s="5446"/>
      <c r="G3" s="5446"/>
      <c r="H3" s="5446"/>
      <c r="I3" s="5446"/>
      <c r="J3" s="5446"/>
      <c r="K3" s="5446"/>
      <c r="L3" s="5446"/>
      <c r="M3" s="5446"/>
      <c r="N3" s="5446"/>
      <c r="O3" s="5446"/>
      <c r="P3" s="5446"/>
      <c r="Q3" s="98"/>
      <c r="R3" s="98"/>
      <c r="S3" s="98"/>
      <c r="T3" s="98"/>
      <c r="U3" s="98"/>
      <c r="V3" s="98"/>
      <c r="W3" s="98"/>
      <c r="X3" s="98"/>
      <c r="Y3" s="98"/>
      <c r="Z3" s="98"/>
    </row>
    <row r="4" spans="1:26" ht="0.75" hidden="1" customHeight="1">
      <c r="A4" s="57"/>
      <c r="B4" s="57"/>
      <c r="C4" s="58"/>
      <c r="D4" s="59"/>
      <c r="E4" s="59"/>
      <c r="F4" s="59"/>
      <c r="G4" s="59"/>
      <c r="H4" s="59"/>
      <c r="I4" s="59"/>
      <c r="J4" s="59"/>
      <c r="K4" s="59"/>
      <c r="L4" s="59"/>
      <c r="M4" s="59"/>
      <c r="N4" s="59"/>
      <c r="O4" s="60"/>
      <c r="P4" s="59"/>
      <c r="Q4" s="98"/>
      <c r="R4" s="98"/>
      <c r="S4" s="98"/>
      <c r="T4" s="98"/>
      <c r="U4" s="98"/>
      <c r="V4" s="98"/>
      <c r="W4" s="98"/>
      <c r="X4" s="98"/>
      <c r="Y4" s="98"/>
      <c r="Z4" s="98"/>
    </row>
    <row r="5" spans="1:26" ht="0.75" hidden="1" customHeight="1">
      <c r="A5" s="5443" t="s">
        <v>216</v>
      </c>
      <c r="B5" s="5444"/>
      <c r="C5" s="5444"/>
      <c r="D5" s="5444"/>
      <c r="E5" s="5444"/>
      <c r="F5" s="5444"/>
      <c r="G5" s="5444"/>
      <c r="H5" s="5444"/>
      <c r="I5" s="5444"/>
      <c r="J5" s="5444"/>
      <c r="K5" s="5444"/>
      <c r="L5" s="5444"/>
      <c r="M5" s="5444"/>
      <c r="N5" s="5444"/>
      <c r="O5" s="5444"/>
      <c r="P5" s="5445"/>
      <c r="Q5" s="61"/>
      <c r="R5" s="98"/>
      <c r="S5" s="98"/>
      <c r="T5" s="98"/>
      <c r="U5" s="98"/>
      <c r="V5" s="98"/>
      <c r="W5" s="98"/>
      <c r="X5" s="98"/>
      <c r="Y5" s="98"/>
      <c r="Z5" s="98"/>
    </row>
    <row r="6" spans="1:26" ht="0.75" hidden="1" customHeight="1">
      <c r="A6" s="62" t="s">
        <v>217</v>
      </c>
      <c r="B6" s="348"/>
      <c r="C6" s="63" t="s">
        <v>218</v>
      </c>
      <c r="D6" s="63" t="s">
        <v>207</v>
      </c>
      <c r="E6" s="63" t="s">
        <v>208</v>
      </c>
      <c r="F6" s="63" t="s">
        <v>219</v>
      </c>
      <c r="G6" s="63" t="s">
        <v>209</v>
      </c>
      <c r="H6" s="63" t="s">
        <v>210</v>
      </c>
      <c r="I6" s="63" t="s">
        <v>220</v>
      </c>
      <c r="J6" s="63" t="s">
        <v>221</v>
      </c>
      <c r="K6" s="63" t="s">
        <v>211</v>
      </c>
      <c r="L6" s="63" t="s">
        <v>212</v>
      </c>
      <c r="M6" s="63" t="s">
        <v>213</v>
      </c>
      <c r="N6" s="63" t="s">
        <v>222</v>
      </c>
      <c r="O6" s="63" t="s">
        <v>223</v>
      </c>
      <c r="P6" s="64" t="s">
        <v>151</v>
      </c>
      <c r="Q6" s="98"/>
      <c r="R6" s="98"/>
      <c r="S6" s="98"/>
      <c r="T6" s="98"/>
      <c r="U6" s="98"/>
      <c r="V6" s="98"/>
      <c r="W6" s="98"/>
      <c r="X6" s="98"/>
      <c r="Y6" s="98"/>
      <c r="Z6" s="98"/>
    </row>
    <row r="7" spans="1:26" ht="0.75" hidden="1" customHeight="1">
      <c r="A7" s="65" t="s">
        <v>224</v>
      </c>
      <c r="B7" s="349"/>
      <c r="C7" s="66">
        <f>42509+457</f>
        <v>42966</v>
      </c>
      <c r="D7" s="66">
        <f>35149+457</f>
        <v>35606</v>
      </c>
      <c r="E7" s="66">
        <f>39152+457</f>
        <v>39609</v>
      </c>
      <c r="F7" s="66">
        <f>37370+457</f>
        <v>37827</v>
      </c>
      <c r="G7" s="66">
        <f>40803+457</f>
        <v>41260</v>
      </c>
      <c r="H7" s="66">
        <f>49461+457</f>
        <v>49918</v>
      </c>
      <c r="I7" s="66">
        <f>56056+457</f>
        <v>56513</v>
      </c>
      <c r="J7" s="66">
        <f>56841+457</f>
        <v>57298</v>
      </c>
      <c r="K7" s="66">
        <f>45964+457</f>
        <v>46421</v>
      </c>
      <c r="L7" s="66">
        <f>40309+457</f>
        <v>40766</v>
      </c>
      <c r="M7" s="67">
        <f>45354+457</f>
        <v>45811</v>
      </c>
      <c r="N7" s="67">
        <f>47845+455</f>
        <v>48300</v>
      </c>
      <c r="O7" s="60">
        <f>AVERAGE(C7:N7)</f>
        <v>45191.25</v>
      </c>
      <c r="P7" s="68">
        <f>SUM(C7:N7)</f>
        <v>542295</v>
      </c>
      <c r="Q7" s="61"/>
      <c r="R7" s="98"/>
      <c r="S7" s="98"/>
      <c r="T7" s="98"/>
      <c r="U7" s="98"/>
      <c r="V7" s="98"/>
      <c r="W7" s="98"/>
      <c r="X7" s="98"/>
      <c r="Y7" s="98"/>
      <c r="Z7" s="98"/>
    </row>
    <row r="8" spans="1:26" ht="0.75" hidden="1" customHeight="1" thickBot="1">
      <c r="A8" s="65" t="s">
        <v>225</v>
      </c>
      <c r="B8" s="349"/>
      <c r="C8" s="66">
        <f>56641+4079</f>
        <v>60720</v>
      </c>
      <c r="D8" s="66">
        <f>52309+4079</f>
        <v>56388</v>
      </c>
      <c r="E8" s="66">
        <f>51788+4078</f>
        <v>55866</v>
      </c>
      <c r="F8" s="66">
        <f>55102+4078</f>
        <v>59180</v>
      </c>
      <c r="G8" s="66">
        <f>62167+4078</f>
        <v>66245</v>
      </c>
      <c r="H8" s="66">
        <f>59655+4079</f>
        <v>63734</v>
      </c>
      <c r="I8" s="66">
        <f>68466+4079</f>
        <v>72545</v>
      </c>
      <c r="J8" s="66">
        <f>68496+4079</f>
        <v>72575</v>
      </c>
      <c r="K8" s="66">
        <f>60585+4078</f>
        <v>64663</v>
      </c>
      <c r="L8" s="66">
        <f>63823+4078</f>
        <v>67901</v>
      </c>
      <c r="M8" s="67">
        <f>62420+4078</f>
        <v>66498</v>
      </c>
      <c r="N8" s="67">
        <f>62050+4078</f>
        <v>66128</v>
      </c>
      <c r="O8" s="60">
        <f>AVERAGE(C8:N8)</f>
        <v>64370.25</v>
      </c>
      <c r="P8" s="68">
        <f>SUM(C8:N8)</f>
        <v>772443</v>
      </c>
      <c r="Q8" s="61"/>
      <c r="R8" s="98"/>
      <c r="S8" s="98"/>
      <c r="T8" s="98"/>
      <c r="U8" s="98"/>
      <c r="V8" s="98"/>
      <c r="W8" s="98"/>
      <c r="X8" s="98"/>
      <c r="Y8" s="98"/>
      <c r="Z8" s="98"/>
    </row>
    <row r="9" spans="1:26" ht="0.75" hidden="1" customHeight="1" thickBot="1">
      <c r="A9" s="69" t="s">
        <v>226</v>
      </c>
      <c r="B9" s="350"/>
      <c r="C9" s="70">
        <f t="shared" ref="C9:N9" si="0">SUM(C7:C8)</f>
        <v>103686</v>
      </c>
      <c r="D9" s="70">
        <f t="shared" si="0"/>
        <v>91994</v>
      </c>
      <c r="E9" s="70">
        <f t="shared" si="0"/>
        <v>95475</v>
      </c>
      <c r="F9" s="70">
        <f t="shared" si="0"/>
        <v>97007</v>
      </c>
      <c r="G9" s="70">
        <f t="shared" si="0"/>
        <v>107505</v>
      </c>
      <c r="H9" s="71">
        <f t="shared" si="0"/>
        <v>113652</v>
      </c>
      <c r="I9" s="71">
        <f t="shared" si="0"/>
        <v>129058</v>
      </c>
      <c r="J9" s="71">
        <f t="shared" si="0"/>
        <v>129873</v>
      </c>
      <c r="K9" s="71">
        <f t="shared" si="0"/>
        <v>111084</v>
      </c>
      <c r="L9" s="71">
        <f t="shared" si="0"/>
        <v>108667</v>
      </c>
      <c r="M9" s="71">
        <f t="shared" si="0"/>
        <v>112309</v>
      </c>
      <c r="N9" s="71">
        <f t="shared" si="0"/>
        <v>114428</v>
      </c>
      <c r="O9" s="70">
        <f>AVERAGE(C9:N9)</f>
        <v>109561.5</v>
      </c>
      <c r="P9" s="72">
        <f>+P8+P7</f>
        <v>1314738</v>
      </c>
      <c r="Q9" s="61"/>
      <c r="R9" s="98"/>
      <c r="S9" s="98"/>
      <c r="T9" s="98"/>
      <c r="U9" s="98"/>
      <c r="V9" s="98"/>
      <c r="W9" s="98"/>
      <c r="X9" s="98"/>
      <c r="Y9" s="98"/>
      <c r="Z9" s="98"/>
    </row>
    <row r="10" spans="1:26" ht="0.75" hidden="1" customHeight="1">
      <c r="A10" s="57"/>
      <c r="B10" s="57"/>
      <c r="C10" s="60"/>
      <c r="D10" s="60"/>
      <c r="E10" s="60"/>
      <c r="F10" s="60"/>
      <c r="G10" s="60"/>
      <c r="H10" s="73"/>
      <c r="I10" s="73"/>
      <c r="J10" s="73"/>
      <c r="K10" s="73"/>
      <c r="L10" s="73"/>
      <c r="M10" s="73"/>
      <c r="N10" s="73"/>
      <c r="O10" s="60"/>
      <c r="P10" s="59"/>
      <c r="Q10" s="61"/>
      <c r="R10" s="98"/>
      <c r="S10" s="98"/>
      <c r="T10" s="98"/>
      <c r="U10" s="98"/>
      <c r="V10" s="98"/>
      <c r="W10" s="98"/>
      <c r="X10" s="98"/>
      <c r="Y10" s="98"/>
      <c r="Z10" s="98"/>
    </row>
    <row r="11" spans="1:26" ht="0.75" hidden="1" customHeight="1">
      <c r="A11" s="57"/>
      <c r="B11" s="57"/>
      <c r="C11" s="60"/>
      <c r="D11" s="60"/>
      <c r="E11" s="60"/>
      <c r="F11" s="60"/>
      <c r="G11" s="60"/>
      <c r="H11" s="73"/>
      <c r="I11" s="73"/>
      <c r="J11" s="73"/>
      <c r="K11" s="73"/>
      <c r="L11" s="73"/>
      <c r="M11" s="73"/>
      <c r="N11" s="73"/>
      <c r="O11" s="60"/>
      <c r="P11" s="59"/>
      <c r="Q11" s="61"/>
      <c r="R11" s="98"/>
      <c r="S11" s="98"/>
      <c r="T11" s="98"/>
      <c r="U11" s="98"/>
      <c r="V11" s="98"/>
      <c r="W11" s="98"/>
      <c r="X11" s="98"/>
      <c r="Y11" s="98"/>
      <c r="Z11" s="98"/>
    </row>
    <row r="12" spans="1:26" ht="0.75" hidden="1" customHeight="1">
      <c r="A12" s="57"/>
      <c r="B12" s="57"/>
      <c r="C12" s="60"/>
      <c r="D12" s="60"/>
      <c r="E12" s="60"/>
      <c r="F12" s="60"/>
      <c r="G12" s="60"/>
      <c r="H12" s="73"/>
      <c r="I12" s="73"/>
      <c r="J12" s="73"/>
      <c r="K12" s="73"/>
      <c r="L12" s="73"/>
      <c r="M12" s="73"/>
      <c r="N12" s="73"/>
      <c r="O12" s="60"/>
      <c r="P12" s="59"/>
      <c r="Q12" s="61"/>
      <c r="R12" s="98"/>
      <c r="S12" s="98"/>
      <c r="T12" s="98"/>
      <c r="U12" s="98"/>
      <c r="V12" s="98"/>
      <c r="W12" s="98"/>
      <c r="X12" s="98"/>
      <c r="Y12" s="98"/>
      <c r="Z12" s="98"/>
    </row>
    <row r="13" spans="1:26" ht="0.75" hidden="1" customHeight="1">
      <c r="A13" s="5443" t="s">
        <v>227</v>
      </c>
      <c r="B13" s="5444"/>
      <c r="C13" s="5444"/>
      <c r="D13" s="5444"/>
      <c r="E13" s="5444"/>
      <c r="F13" s="5444"/>
      <c r="G13" s="5444"/>
      <c r="H13" s="5444"/>
      <c r="I13" s="5444"/>
      <c r="J13" s="5444"/>
      <c r="K13" s="5444"/>
      <c r="L13" s="5444"/>
      <c r="M13" s="5444"/>
      <c r="N13" s="5444"/>
      <c r="O13" s="5444"/>
      <c r="P13" s="5445"/>
      <c r="Q13" s="61"/>
      <c r="R13" s="98"/>
      <c r="S13" s="98"/>
      <c r="T13" s="98"/>
      <c r="U13" s="98"/>
      <c r="V13" s="98"/>
      <c r="W13" s="98"/>
      <c r="X13" s="98"/>
      <c r="Y13" s="98"/>
      <c r="Z13" s="98"/>
    </row>
    <row r="14" spans="1:26" ht="0.75" hidden="1" customHeight="1">
      <c r="A14" s="62" t="s">
        <v>217</v>
      </c>
      <c r="B14" s="348"/>
      <c r="C14" s="63" t="s">
        <v>218</v>
      </c>
      <c r="D14" s="63" t="s">
        <v>207</v>
      </c>
      <c r="E14" s="63" t="s">
        <v>208</v>
      </c>
      <c r="F14" s="63" t="s">
        <v>219</v>
      </c>
      <c r="G14" s="63" t="s">
        <v>209</v>
      </c>
      <c r="H14" s="63" t="s">
        <v>210</v>
      </c>
      <c r="I14" s="63" t="s">
        <v>220</v>
      </c>
      <c r="J14" s="63" t="s">
        <v>221</v>
      </c>
      <c r="K14" s="63" t="s">
        <v>211</v>
      </c>
      <c r="L14" s="63" t="s">
        <v>212</v>
      </c>
      <c r="M14" s="63" t="s">
        <v>213</v>
      </c>
      <c r="N14" s="63" t="s">
        <v>222</v>
      </c>
      <c r="O14" s="63" t="s">
        <v>223</v>
      </c>
      <c r="P14" s="64" t="s">
        <v>151</v>
      </c>
      <c r="Q14" s="98"/>
      <c r="R14" s="98"/>
      <c r="S14" s="98"/>
      <c r="T14" s="98"/>
      <c r="U14" s="98"/>
      <c r="V14" s="98"/>
      <c r="W14" s="98"/>
      <c r="X14" s="98"/>
      <c r="Y14" s="98"/>
      <c r="Z14" s="98"/>
    </row>
    <row r="15" spans="1:26" ht="0.75" hidden="1" customHeight="1">
      <c r="A15" s="65" t="s">
        <v>224</v>
      </c>
      <c r="B15" s="349"/>
      <c r="C15" s="74">
        <f>43679+351</f>
        <v>44030</v>
      </c>
      <c r="D15" s="74">
        <f>42565+351</f>
        <v>42916</v>
      </c>
      <c r="E15" s="75">
        <f>40495+351</f>
        <v>40846</v>
      </c>
      <c r="F15" s="75">
        <f>41820+351</f>
        <v>42171</v>
      </c>
      <c r="G15" s="76">
        <f>43297+351</f>
        <v>43648</v>
      </c>
      <c r="H15" s="76">
        <f>50112+351</f>
        <v>50463</v>
      </c>
      <c r="I15" s="76">
        <f>59269+351</f>
        <v>59620</v>
      </c>
      <c r="J15" s="76">
        <f>57304+351</f>
        <v>57655</v>
      </c>
      <c r="K15" s="76">
        <f>45078+351</f>
        <v>45429</v>
      </c>
      <c r="L15" s="76">
        <f>48780+351</f>
        <v>49131</v>
      </c>
      <c r="M15" s="76">
        <f>50726+351</f>
        <v>51077</v>
      </c>
      <c r="N15" s="76">
        <f>54427+346</f>
        <v>54773</v>
      </c>
      <c r="O15" s="60">
        <f>AVERAGE(C15:N15)</f>
        <v>48479.916666666664</v>
      </c>
      <c r="P15" s="68">
        <f>SUM(C15:N15)</f>
        <v>581759</v>
      </c>
      <c r="Q15" s="98"/>
      <c r="R15" s="98"/>
      <c r="S15" s="98"/>
      <c r="T15" s="98"/>
      <c r="U15" s="98"/>
      <c r="V15" s="98"/>
      <c r="W15" s="98"/>
      <c r="X15" s="98"/>
      <c r="Y15" s="98"/>
      <c r="Z15" s="98"/>
    </row>
    <row r="16" spans="1:26" ht="0.75" hidden="1" customHeight="1" thickBot="1">
      <c r="A16" s="65" t="s">
        <v>225</v>
      </c>
      <c r="B16" s="349"/>
      <c r="C16" s="74">
        <f>60676+4782</f>
        <v>65458</v>
      </c>
      <c r="D16" s="74">
        <f>58004+4782</f>
        <v>62786</v>
      </c>
      <c r="E16" s="74">
        <f>67974+4782</f>
        <v>72756</v>
      </c>
      <c r="F16" s="74">
        <f>63549+4782</f>
        <v>68331</v>
      </c>
      <c r="G16" s="76">
        <f>65000+4782</f>
        <v>69782</v>
      </c>
      <c r="H16" s="76">
        <f>66302+4782</f>
        <v>71084</v>
      </c>
      <c r="I16" s="76">
        <f>74934+4782</f>
        <v>79716</v>
      </c>
      <c r="J16" s="76">
        <f>74992+4782</f>
        <v>79774</v>
      </c>
      <c r="K16" s="76">
        <f>65943+4782</f>
        <v>70725</v>
      </c>
      <c r="L16" s="76">
        <f>69356+4782</f>
        <v>74138</v>
      </c>
      <c r="M16" s="76">
        <f>67825+4782</f>
        <v>72607</v>
      </c>
      <c r="N16" s="76">
        <f>71685+4781</f>
        <v>76466</v>
      </c>
      <c r="O16" s="60">
        <f>AVERAGE(C16:N16)</f>
        <v>71968.583333333328</v>
      </c>
      <c r="P16" s="68">
        <f>SUM(C16:N16)</f>
        <v>863623</v>
      </c>
      <c r="Q16" s="98"/>
      <c r="R16" s="98"/>
      <c r="S16" s="98"/>
      <c r="T16" s="98"/>
      <c r="U16" s="98"/>
      <c r="V16" s="98"/>
      <c r="W16" s="98"/>
      <c r="X16" s="98"/>
      <c r="Y16" s="98"/>
      <c r="Z16" s="98"/>
    </row>
    <row r="17" spans="1:26" ht="0.75" hidden="1" customHeight="1" thickBot="1">
      <c r="A17" s="69" t="s">
        <v>228</v>
      </c>
      <c r="B17" s="350"/>
      <c r="C17" s="77">
        <f>SUM(C15:C16)</f>
        <v>109488</v>
      </c>
      <c r="D17" s="77">
        <f t="shared" ref="D17:N17" si="1">SUM(D15:D16)</f>
        <v>105702</v>
      </c>
      <c r="E17" s="77">
        <f t="shared" si="1"/>
        <v>113602</v>
      </c>
      <c r="F17" s="77">
        <f t="shared" si="1"/>
        <v>110502</v>
      </c>
      <c r="G17" s="77">
        <f t="shared" si="1"/>
        <v>113430</v>
      </c>
      <c r="H17" s="77">
        <f t="shared" si="1"/>
        <v>121547</v>
      </c>
      <c r="I17" s="77">
        <f t="shared" si="1"/>
        <v>139336</v>
      </c>
      <c r="J17" s="77">
        <f t="shared" si="1"/>
        <v>137429</v>
      </c>
      <c r="K17" s="77">
        <f t="shared" si="1"/>
        <v>116154</v>
      </c>
      <c r="L17" s="77">
        <f t="shared" si="1"/>
        <v>123269</v>
      </c>
      <c r="M17" s="77">
        <f t="shared" si="1"/>
        <v>123684</v>
      </c>
      <c r="N17" s="77">
        <f t="shared" si="1"/>
        <v>131239</v>
      </c>
      <c r="O17" s="70">
        <f>AVERAGE(C17:N17)</f>
        <v>120448.5</v>
      </c>
      <c r="P17" s="78">
        <f>SUM(C17:N17)</f>
        <v>1445382</v>
      </c>
      <c r="Q17" s="98"/>
      <c r="R17" s="98"/>
      <c r="S17" s="98"/>
      <c r="T17" s="98"/>
      <c r="U17" s="98"/>
      <c r="V17" s="98"/>
      <c r="W17" s="98"/>
      <c r="X17" s="98"/>
      <c r="Y17" s="98"/>
      <c r="Z17" s="98"/>
    </row>
    <row r="18" spans="1:26" ht="0.75" hidden="1" customHeight="1">
      <c r="A18" s="57"/>
      <c r="B18" s="57"/>
      <c r="C18" s="79"/>
      <c r="D18" s="79"/>
      <c r="E18" s="79"/>
      <c r="F18" s="79"/>
      <c r="G18" s="79"/>
      <c r="H18" s="79"/>
      <c r="I18" s="79"/>
      <c r="J18" s="79"/>
      <c r="K18" s="79"/>
      <c r="L18" s="79"/>
      <c r="M18" s="79"/>
      <c r="N18" s="79"/>
      <c r="O18" s="60"/>
      <c r="P18" s="60"/>
      <c r="Q18" s="98"/>
      <c r="R18" s="98"/>
      <c r="S18" s="98"/>
      <c r="T18" s="98"/>
      <c r="U18" s="98"/>
      <c r="V18" s="98"/>
      <c r="W18" s="98"/>
      <c r="X18" s="98"/>
      <c r="Y18" s="98"/>
      <c r="Z18" s="98"/>
    </row>
    <row r="19" spans="1:26" ht="0.75" hidden="1" customHeight="1">
      <c r="A19" s="80" t="s">
        <v>229</v>
      </c>
      <c r="B19" s="80"/>
      <c r="C19" s="81"/>
      <c r="D19" s="81"/>
      <c r="E19" s="81"/>
      <c r="F19" s="81"/>
      <c r="G19" s="81"/>
      <c r="H19" s="81"/>
      <c r="I19" s="81"/>
      <c r="J19" s="81"/>
      <c r="K19" s="81"/>
      <c r="L19" s="81"/>
      <c r="M19" s="81"/>
      <c r="N19" s="81"/>
      <c r="O19" s="82"/>
      <c r="P19" s="82"/>
      <c r="Q19" s="98"/>
      <c r="R19" s="98"/>
      <c r="S19" s="98"/>
      <c r="T19" s="98"/>
      <c r="U19" s="98"/>
      <c r="V19" s="98"/>
      <c r="W19" s="98"/>
      <c r="X19" s="98"/>
      <c r="Y19" s="98"/>
      <c r="Z19" s="98"/>
    </row>
    <row r="20" spans="1:26" ht="0.75" hidden="1" customHeight="1">
      <c r="A20" s="83" t="s">
        <v>224</v>
      </c>
      <c r="B20" s="83"/>
      <c r="C20" s="84">
        <f t="shared" ref="C20:N22" si="2">SUM(C15/C7-1)</f>
        <v>2.4763766699250622E-2</v>
      </c>
      <c r="D20" s="84">
        <f t="shared" si="2"/>
        <v>0.20530247711059935</v>
      </c>
      <c r="E20" s="84">
        <f t="shared" si="2"/>
        <v>3.1230275947385699E-2</v>
      </c>
      <c r="F20" s="84">
        <f t="shared" si="2"/>
        <v>0.11483860734396067</v>
      </c>
      <c r="G20" s="84">
        <f t="shared" si="2"/>
        <v>5.7876878332525417E-2</v>
      </c>
      <c r="H20" s="84">
        <f t="shared" si="2"/>
        <v>1.0917905364798308E-2</v>
      </c>
      <c r="I20" s="84">
        <f>SUM(I15/I7-1)</f>
        <v>5.4978500522003815E-2</v>
      </c>
      <c r="J20" s="84">
        <f t="shared" si="2"/>
        <v>6.2305839645362404E-3</v>
      </c>
      <c r="K20" s="84">
        <f t="shared" si="2"/>
        <v>-2.1369638741086994E-2</v>
      </c>
      <c r="L20" s="84">
        <f t="shared" si="2"/>
        <v>0.20519550605897074</v>
      </c>
      <c r="M20" s="84">
        <f t="shared" si="2"/>
        <v>0.11495055772631035</v>
      </c>
      <c r="N20" s="84">
        <f t="shared" si="2"/>
        <v>0.13401656314699784</v>
      </c>
      <c r="O20" s="85"/>
      <c r="P20" s="84">
        <f>SUM(P15/P7-1)</f>
        <v>7.2772199633041046E-2</v>
      </c>
      <c r="Q20" s="98"/>
      <c r="R20" s="98"/>
      <c r="S20" s="98"/>
      <c r="T20" s="98"/>
      <c r="U20" s="98"/>
      <c r="V20" s="98"/>
      <c r="W20" s="98"/>
      <c r="X20" s="98"/>
      <c r="Y20" s="98"/>
      <c r="Z20" s="98"/>
    </row>
    <row r="21" spans="1:26" ht="0.75" hidden="1" customHeight="1">
      <c r="A21" s="83" t="s">
        <v>225</v>
      </c>
      <c r="B21" s="83"/>
      <c r="C21" s="84">
        <f t="shared" si="2"/>
        <v>7.8030303030303116E-2</v>
      </c>
      <c r="D21" s="84">
        <f t="shared" si="2"/>
        <v>0.11346385755834576</v>
      </c>
      <c r="E21" s="84">
        <f t="shared" si="2"/>
        <v>0.30233057673719266</v>
      </c>
      <c r="F21" s="84">
        <f t="shared" si="2"/>
        <v>0.15462994254815809</v>
      </c>
      <c r="G21" s="84">
        <f t="shared" si="2"/>
        <v>5.339270888368941E-2</v>
      </c>
      <c r="H21" s="84">
        <f t="shared" si="2"/>
        <v>0.11532306147425242</v>
      </c>
      <c r="I21" s="84">
        <f>SUM(I16/I8-1)</f>
        <v>9.8848990281894089E-2</v>
      </c>
      <c r="J21" s="84">
        <f t="shared" si="2"/>
        <v>9.9193937306234936E-2</v>
      </c>
      <c r="K21" s="84">
        <f t="shared" si="2"/>
        <v>9.3747583625875652E-2</v>
      </c>
      <c r="L21" s="84">
        <f t="shared" si="2"/>
        <v>9.1854317314914447E-2</v>
      </c>
      <c r="M21" s="84">
        <f t="shared" si="2"/>
        <v>9.1867424584197943E-2</v>
      </c>
      <c r="N21" s="84">
        <f t="shared" si="2"/>
        <v>0.15633317203000252</v>
      </c>
      <c r="O21" s="85"/>
      <c r="P21" s="84">
        <f>SUM(P16/P8-1)</f>
        <v>0.11804107228623995</v>
      </c>
      <c r="Q21" s="98"/>
      <c r="R21" s="98"/>
      <c r="S21" s="98"/>
      <c r="T21" s="98"/>
      <c r="U21" s="98"/>
      <c r="V21" s="98"/>
      <c r="W21" s="98"/>
      <c r="X21" s="98"/>
      <c r="Y21" s="98"/>
      <c r="Z21" s="98"/>
    </row>
    <row r="22" spans="1:26" ht="0.75" hidden="1" customHeight="1">
      <c r="A22" s="86" t="s">
        <v>151</v>
      </c>
      <c r="B22" s="86"/>
      <c r="C22" s="84">
        <f t="shared" si="2"/>
        <v>5.5957409872113839E-2</v>
      </c>
      <c r="D22" s="84">
        <f t="shared" si="2"/>
        <v>0.14900971802508867</v>
      </c>
      <c r="E22" s="84">
        <f t="shared" si="2"/>
        <v>0.18986122021471585</v>
      </c>
      <c r="F22" s="84">
        <f t="shared" si="2"/>
        <v>0.13911367220922211</v>
      </c>
      <c r="G22" s="84">
        <f t="shared" si="2"/>
        <v>5.5113715641132988E-2</v>
      </c>
      <c r="H22" s="84">
        <f t="shared" si="2"/>
        <v>6.9466441417660896E-2</v>
      </c>
      <c r="I22" s="84">
        <f>SUM(I17/I9-1)</f>
        <v>7.9638612096886607E-2</v>
      </c>
      <c r="J22" s="84">
        <f t="shared" si="2"/>
        <v>5.8179914223895679E-2</v>
      </c>
      <c r="K22" s="84">
        <f t="shared" si="2"/>
        <v>4.5641136437290619E-2</v>
      </c>
      <c r="L22" s="84">
        <f t="shared" si="2"/>
        <v>0.13437382093919958</v>
      </c>
      <c r="M22" s="84">
        <f t="shared" si="2"/>
        <v>0.10128306725195668</v>
      </c>
      <c r="N22" s="84">
        <f t="shared" si="2"/>
        <v>0.1469133428881042</v>
      </c>
      <c r="O22" s="85"/>
      <c r="P22" s="84">
        <f>SUM(P17/P9-1)</f>
        <v>9.9368847633520829E-2</v>
      </c>
      <c r="Q22" s="98"/>
      <c r="R22" s="98"/>
      <c r="S22" s="98"/>
      <c r="T22" s="98"/>
      <c r="U22" s="98"/>
      <c r="V22" s="98"/>
      <c r="W22" s="98"/>
      <c r="X22" s="98"/>
      <c r="Y22" s="98"/>
      <c r="Z22" s="98"/>
    </row>
    <row r="23" spans="1:26" ht="0.75" hidden="1" customHeight="1">
      <c r="A23" s="57"/>
      <c r="B23" s="57"/>
      <c r="C23" s="79"/>
      <c r="D23" s="79"/>
      <c r="E23" s="79"/>
      <c r="F23" s="79"/>
      <c r="G23" s="79"/>
      <c r="H23" s="79"/>
      <c r="I23" s="79"/>
      <c r="J23" s="79"/>
      <c r="K23" s="79"/>
      <c r="L23" s="79"/>
      <c r="M23" s="79"/>
      <c r="N23" s="79"/>
      <c r="O23" s="60"/>
      <c r="P23" s="60"/>
      <c r="Q23" s="98"/>
      <c r="R23" s="98"/>
      <c r="S23" s="98"/>
      <c r="T23" s="98"/>
      <c r="U23" s="98"/>
      <c r="V23" s="98"/>
      <c r="W23" s="98"/>
      <c r="X23" s="98"/>
      <c r="Y23" s="98"/>
      <c r="Z23" s="98"/>
    </row>
    <row r="24" spans="1:26" ht="0.75" hidden="1" customHeight="1">
      <c r="A24" s="57"/>
      <c r="B24" s="57"/>
      <c r="C24" s="79"/>
      <c r="D24" s="79"/>
      <c r="E24" s="79"/>
      <c r="F24" s="79"/>
      <c r="G24" s="79"/>
      <c r="H24" s="79"/>
      <c r="I24" s="79"/>
      <c r="J24" s="79"/>
      <c r="K24" s="79"/>
      <c r="L24" s="79"/>
      <c r="M24" s="79"/>
      <c r="N24" s="79"/>
      <c r="O24" s="60"/>
      <c r="P24" s="60"/>
      <c r="Q24" s="98"/>
      <c r="R24" s="98"/>
      <c r="S24" s="98"/>
      <c r="T24" s="98"/>
      <c r="U24" s="98"/>
      <c r="V24" s="98"/>
      <c r="W24" s="98"/>
      <c r="X24" s="98"/>
      <c r="Y24" s="98"/>
      <c r="Z24" s="98"/>
    </row>
    <row r="25" spans="1:26" ht="0.75" hidden="1" customHeight="1">
      <c r="A25" s="5443" t="s">
        <v>230</v>
      </c>
      <c r="B25" s="5444"/>
      <c r="C25" s="5444"/>
      <c r="D25" s="5444"/>
      <c r="E25" s="5444"/>
      <c r="F25" s="5444"/>
      <c r="G25" s="5444"/>
      <c r="H25" s="5444"/>
      <c r="I25" s="5444"/>
      <c r="J25" s="5444"/>
      <c r="K25" s="5444"/>
      <c r="L25" s="5444"/>
      <c r="M25" s="5444"/>
      <c r="N25" s="5444"/>
      <c r="O25" s="5444"/>
      <c r="P25" s="5445"/>
      <c r="Q25" s="61"/>
      <c r="R25" s="98"/>
      <c r="S25" s="98"/>
      <c r="T25" s="98"/>
      <c r="U25" s="98"/>
      <c r="V25" s="98"/>
      <c r="W25" s="98"/>
      <c r="X25" s="98"/>
      <c r="Y25" s="98"/>
      <c r="Z25" s="98"/>
    </row>
    <row r="26" spans="1:26" ht="0.75" hidden="1" customHeight="1">
      <c r="A26" s="62" t="s">
        <v>217</v>
      </c>
      <c r="B26" s="348"/>
      <c r="C26" s="63" t="s">
        <v>218</v>
      </c>
      <c r="D26" s="63" t="s">
        <v>207</v>
      </c>
      <c r="E26" s="63" t="s">
        <v>208</v>
      </c>
      <c r="F26" s="63" t="s">
        <v>219</v>
      </c>
      <c r="G26" s="63" t="s">
        <v>209</v>
      </c>
      <c r="H26" s="63" t="s">
        <v>210</v>
      </c>
      <c r="I26" s="63" t="s">
        <v>220</v>
      </c>
      <c r="J26" s="63" t="s">
        <v>221</v>
      </c>
      <c r="K26" s="63" t="s">
        <v>211</v>
      </c>
      <c r="L26" s="63" t="s">
        <v>212</v>
      </c>
      <c r="M26" s="63" t="s">
        <v>213</v>
      </c>
      <c r="N26" s="63" t="s">
        <v>222</v>
      </c>
      <c r="O26" s="63" t="s">
        <v>223</v>
      </c>
      <c r="P26" s="64" t="s">
        <v>151</v>
      </c>
      <c r="Q26" s="98"/>
      <c r="R26" s="98"/>
      <c r="S26" s="98"/>
      <c r="T26" s="98"/>
      <c r="U26" s="98"/>
      <c r="V26" s="98"/>
      <c r="W26" s="98"/>
      <c r="X26" s="98"/>
      <c r="Y26" s="98"/>
      <c r="Z26" s="98"/>
    </row>
    <row r="27" spans="1:26" ht="0.75" hidden="1" customHeight="1">
      <c r="A27" s="65" t="s">
        <v>224</v>
      </c>
      <c r="B27" s="349"/>
      <c r="C27" s="74">
        <f>50499+1548</f>
        <v>52047</v>
      </c>
      <c r="D27" s="74">
        <f>42799+1255</f>
        <v>44054</v>
      </c>
      <c r="E27" s="87">
        <f>47701+2270</f>
        <v>49971</v>
      </c>
      <c r="F27" s="87">
        <f>41004+1802</f>
        <v>42806</v>
      </c>
      <c r="G27" s="87">
        <f>45376+3428</f>
        <v>48804</v>
      </c>
      <c r="H27" s="75">
        <f>55764</f>
        <v>55764</v>
      </c>
      <c r="I27" s="87">
        <f>68086+696</f>
        <v>68782</v>
      </c>
      <c r="J27" s="87">
        <f>65539+643</f>
        <v>66182</v>
      </c>
      <c r="K27" s="87">
        <v>50982</v>
      </c>
      <c r="L27" s="87">
        <f>49388+445</f>
        <v>49833</v>
      </c>
      <c r="M27" s="75">
        <f>49964+588</f>
        <v>50552</v>
      </c>
      <c r="N27" s="88">
        <v>57796</v>
      </c>
      <c r="O27" s="60">
        <f>AVERAGE(C27:N27)</f>
        <v>53131.083333333336</v>
      </c>
      <c r="P27" s="68">
        <f>SUM(C27:N27)</f>
        <v>637573</v>
      </c>
      <c r="Q27" s="98"/>
      <c r="R27" s="98"/>
      <c r="S27" s="98"/>
      <c r="T27" s="98"/>
      <c r="U27" s="98"/>
      <c r="V27" s="98"/>
      <c r="W27" s="98"/>
      <c r="X27" s="98"/>
      <c r="Y27" s="98"/>
      <c r="Z27" s="98"/>
    </row>
    <row r="28" spans="1:26" ht="0.75" hidden="1" customHeight="1">
      <c r="A28" s="65" t="s">
        <v>231</v>
      </c>
      <c r="B28" s="349"/>
      <c r="C28" s="74">
        <v>13407</v>
      </c>
      <c r="D28" s="74">
        <v>14945</v>
      </c>
      <c r="E28" s="87">
        <v>16429</v>
      </c>
      <c r="F28" s="87">
        <v>12949</v>
      </c>
      <c r="G28" s="89">
        <v>12728</v>
      </c>
      <c r="H28" s="76">
        <v>13700</v>
      </c>
      <c r="I28" s="89">
        <v>14326</v>
      </c>
      <c r="J28" s="89">
        <v>13223</v>
      </c>
      <c r="K28" s="89">
        <v>15238</v>
      </c>
      <c r="L28" s="89">
        <v>16037</v>
      </c>
      <c r="M28" s="76">
        <v>16387</v>
      </c>
      <c r="N28" s="90">
        <v>21373</v>
      </c>
      <c r="O28" s="60">
        <f>AVERAGE(C28:N28)</f>
        <v>15061.833333333334</v>
      </c>
      <c r="P28" s="68">
        <f>SUM(C28:N28)</f>
        <v>180742</v>
      </c>
      <c r="Q28" s="98"/>
      <c r="R28" s="98"/>
      <c r="S28" s="98"/>
      <c r="T28" s="98"/>
      <c r="U28" s="98"/>
      <c r="V28" s="98"/>
      <c r="W28" s="98"/>
      <c r="X28" s="98"/>
      <c r="Y28" s="98"/>
      <c r="Z28" s="98"/>
    </row>
    <row r="29" spans="1:26" ht="0.75" hidden="1" customHeight="1" thickBot="1">
      <c r="A29" s="65" t="s">
        <v>225</v>
      </c>
      <c r="B29" s="349"/>
      <c r="C29" s="74">
        <f>70556+7112</f>
        <v>77668</v>
      </c>
      <c r="D29" s="74">
        <f>64111+7428</f>
        <v>71539</v>
      </c>
      <c r="E29" s="74">
        <f>72346+9708</f>
        <v>82054</v>
      </c>
      <c r="F29" s="91">
        <f>66408+5730</f>
        <v>72138</v>
      </c>
      <c r="G29" s="91">
        <f>71492+6804</f>
        <v>78296</v>
      </c>
      <c r="H29" s="74">
        <f>77866+4850</f>
        <v>82716</v>
      </c>
      <c r="I29" s="74">
        <f>70979+7601</f>
        <v>78580</v>
      </c>
      <c r="J29" s="74">
        <f>79454+6277</f>
        <v>85731</v>
      </c>
      <c r="K29" s="74">
        <f>78503+4906</f>
        <v>83409</v>
      </c>
      <c r="L29" s="74">
        <f>79676+5539</f>
        <v>85215</v>
      </c>
      <c r="M29" s="74">
        <v>87739</v>
      </c>
      <c r="N29" s="92">
        <f>82554+6666</f>
        <v>89220</v>
      </c>
      <c r="O29" s="60">
        <f>AVERAGE(C29:N29)</f>
        <v>81192.083333333328</v>
      </c>
      <c r="P29" s="68">
        <f>SUM(C29:N29)</f>
        <v>974305</v>
      </c>
      <c r="Q29" s="98"/>
      <c r="R29" s="98"/>
      <c r="S29" s="98"/>
      <c r="T29" s="98"/>
      <c r="U29" s="98"/>
      <c r="V29" s="98"/>
      <c r="W29" s="98"/>
      <c r="X29" s="98"/>
      <c r="Y29" s="98"/>
      <c r="Z29" s="98"/>
    </row>
    <row r="30" spans="1:26" ht="0.75" hidden="1" customHeight="1" thickBot="1">
      <c r="A30" s="69" t="s">
        <v>232</v>
      </c>
      <c r="B30" s="350"/>
      <c r="C30" s="77">
        <f>SUM(C27+C29)</f>
        <v>129715</v>
      </c>
      <c r="D30" s="77">
        <f t="shared" ref="D30:N30" si="3">SUM(D27+D29)</f>
        <v>115593</v>
      </c>
      <c r="E30" s="77">
        <f t="shared" si="3"/>
        <v>132025</v>
      </c>
      <c r="F30" s="77">
        <f t="shared" si="3"/>
        <v>114944</v>
      </c>
      <c r="G30" s="77">
        <f t="shared" si="3"/>
        <v>127100</v>
      </c>
      <c r="H30" s="77">
        <f t="shared" si="3"/>
        <v>138480</v>
      </c>
      <c r="I30" s="77">
        <f t="shared" si="3"/>
        <v>147362</v>
      </c>
      <c r="J30" s="77">
        <f t="shared" si="3"/>
        <v>151913</v>
      </c>
      <c r="K30" s="77">
        <f t="shared" si="3"/>
        <v>134391</v>
      </c>
      <c r="L30" s="77">
        <f t="shared" si="3"/>
        <v>135048</v>
      </c>
      <c r="M30" s="77">
        <f t="shared" si="3"/>
        <v>138291</v>
      </c>
      <c r="N30" s="77">
        <f t="shared" si="3"/>
        <v>147016</v>
      </c>
      <c r="O30" s="77">
        <f>SUM(O27+O29)</f>
        <v>134323.16666666666</v>
      </c>
      <c r="P30" s="93">
        <f>SUM(P27+P29)</f>
        <v>1611878</v>
      </c>
      <c r="Q30" s="98"/>
      <c r="R30" s="98"/>
      <c r="S30" s="98"/>
      <c r="T30" s="98"/>
      <c r="U30" s="98"/>
      <c r="V30" s="98"/>
      <c r="W30" s="98"/>
      <c r="X30" s="98"/>
      <c r="Y30" s="98"/>
      <c r="Z30" s="98"/>
    </row>
    <row r="31" spans="1:26" ht="0.75" hidden="1" customHeight="1">
      <c r="A31" s="56"/>
      <c r="B31" s="56"/>
      <c r="C31" s="56"/>
      <c r="D31" s="56"/>
      <c r="E31" s="56"/>
      <c r="F31" s="56"/>
      <c r="G31" s="56"/>
      <c r="H31" s="56"/>
      <c r="I31" s="56"/>
      <c r="J31" s="56"/>
      <c r="K31" s="56"/>
      <c r="L31" s="56"/>
      <c r="M31" s="56"/>
      <c r="N31" s="56"/>
      <c r="O31" s="56"/>
      <c r="P31" s="56"/>
      <c r="Q31" s="98"/>
      <c r="R31" s="98"/>
      <c r="S31" s="98"/>
      <c r="T31" s="98"/>
      <c r="U31" s="98"/>
      <c r="V31" s="98"/>
      <c r="W31" s="98"/>
      <c r="X31" s="98"/>
      <c r="Y31" s="98"/>
      <c r="Z31" s="98"/>
    </row>
    <row r="32" spans="1:26" ht="0.75" hidden="1" customHeight="1">
      <c r="A32" s="80" t="s">
        <v>233</v>
      </c>
      <c r="B32" s="80"/>
      <c r="C32" s="94"/>
      <c r="D32" s="94"/>
      <c r="E32" s="94"/>
      <c r="F32" s="94"/>
      <c r="G32" s="94"/>
      <c r="H32" s="94"/>
      <c r="I32" s="94"/>
      <c r="J32" s="94"/>
      <c r="K32" s="94"/>
      <c r="L32" s="94"/>
      <c r="M32" s="94"/>
      <c r="N32" s="94"/>
      <c r="O32" s="82"/>
      <c r="P32" s="94"/>
      <c r="Q32" s="98"/>
      <c r="R32" s="98"/>
      <c r="S32" s="98"/>
      <c r="T32" s="98"/>
      <c r="U32" s="98"/>
      <c r="V32" s="98"/>
      <c r="W32" s="98"/>
      <c r="X32" s="98"/>
      <c r="Y32" s="98"/>
      <c r="Z32" s="98"/>
    </row>
    <row r="33" spans="1:26" ht="0.75" hidden="1" customHeight="1">
      <c r="A33" s="83" t="s">
        <v>224</v>
      </c>
      <c r="B33" s="83"/>
      <c r="C33" s="95">
        <f t="shared" ref="C33:N33" si="4">SUM(C27/C15-1)</f>
        <v>0.18208039972745849</v>
      </c>
      <c r="D33" s="95">
        <f t="shared" si="4"/>
        <v>2.651691676763912E-2</v>
      </c>
      <c r="E33" s="95">
        <f t="shared" si="4"/>
        <v>0.22340008813592527</v>
      </c>
      <c r="F33" s="95">
        <f t="shared" si="4"/>
        <v>1.5057741101704991E-2</v>
      </c>
      <c r="G33" s="95">
        <f t="shared" si="4"/>
        <v>0.11812683284457481</v>
      </c>
      <c r="H33" s="95">
        <f t="shared" si="4"/>
        <v>0.10504726235063311</v>
      </c>
      <c r="I33" s="95">
        <f>SUM(I27/I15-1)</f>
        <v>0.15367326400536729</v>
      </c>
      <c r="J33" s="95">
        <f t="shared" si="4"/>
        <v>0.14789697337611662</v>
      </c>
      <c r="K33" s="95">
        <f t="shared" si="4"/>
        <v>0.12223469589909519</v>
      </c>
      <c r="L33" s="95">
        <f t="shared" si="4"/>
        <v>1.4288331196189885E-2</v>
      </c>
      <c r="M33" s="95">
        <f t="shared" si="4"/>
        <v>-1.0278598978013642E-2</v>
      </c>
      <c r="N33" s="95">
        <f t="shared" si="4"/>
        <v>5.5191426432731561E-2</v>
      </c>
      <c r="O33" s="85"/>
      <c r="P33" s="95">
        <f>SUM(P27/P15-1)</f>
        <v>9.5940071404138072E-2</v>
      </c>
      <c r="Q33" s="98"/>
      <c r="R33" s="98"/>
      <c r="S33" s="98"/>
      <c r="T33" s="98"/>
      <c r="U33" s="98"/>
      <c r="V33" s="98"/>
      <c r="W33" s="98"/>
      <c r="X33" s="98"/>
      <c r="Y33" s="98"/>
      <c r="Z33" s="98"/>
    </row>
    <row r="34" spans="1:26" ht="0.75" hidden="1" customHeight="1">
      <c r="A34" s="83" t="s">
        <v>225</v>
      </c>
      <c r="B34" s="83"/>
      <c r="C34" s="95">
        <f t="shared" ref="C34:N35" si="5">SUM(C29/C16-1)</f>
        <v>0.18653182193162032</v>
      </c>
      <c r="D34" s="95">
        <f t="shared" si="5"/>
        <v>0.13941005956741948</v>
      </c>
      <c r="E34" s="95">
        <f t="shared" si="5"/>
        <v>0.12779702017702999</v>
      </c>
      <c r="F34" s="95">
        <f t="shared" si="5"/>
        <v>5.5714097554550701E-2</v>
      </c>
      <c r="G34" s="95">
        <f t="shared" si="5"/>
        <v>0.12200854088446866</v>
      </c>
      <c r="H34" s="95">
        <f t="shared" si="5"/>
        <v>0.16363738675369977</v>
      </c>
      <c r="I34" s="95">
        <f>SUM(I29/I16-1)</f>
        <v>-1.4250589593055363E-2</v>
      </c>
      <c r="J34" s="95">
        <f t="shared" si="5"/>
        <v>7.4673452503321913E-2</v>
      </c>
      <c r="K34" s="95">
        <f t="shared" si="5"/>
        <v>0.17934252386002125</v>
      </c>
      <c r="L34" s="95">
        <f t="shared" si="5"/>
        <v>0.14941055868785247</v>
      </c>
      <c r="M34" s="95">
        <f t="shared" si="5"/>
        <v>0.20840965747104279</v>
      </c>
      <c r="N34" s="95">
        <f t="shared" si="5"/>
        <v>0.16679308450814734</v>
      </c>
      <c r="O34" s="85"/>
      <c r="P34" s="95">
        <f>SUM(P29/P16-1)</f>
        <v>0.12816008837189385</v>
      </c>
      <c r="Q34" s="98"/>
      <c r="R34" s="98"/>
      <c r="S34" s="98"/>
      <c r="T34" s="98"/>
      <c r="U34" s="98"/>
      <c r="V34" s="98"/>
      <c r="W34" s="98"/>
      <c r="X34" s="98"/>
      <c r="Y34" s="98"/>
      <c r="Z34" s="98"/>
    </row>
    <row r="35" spans="1:26" ht="0.75" hidden="1" customHeight="1">
      <c r="A35" s="86" t="s">
        <v>151</v>
      </c>
      <c r="B35" s="86"/>
      <c r="C35" s="95">
        <f t="shared" si="5"/>
        <v>0.18474170685371916</v>
      </c>
      <c r="D35" s="95">
        <f t="shared" si="5"/>
        <v>9.3574388374865203E-2</v>
      </c>
      <c r="E35" s="95">
        <f t="shared" si="5"/>
        <v>0.16217144064365074</v>
      </c>
      <c r="F35" s="95">
        <f t="shared" si="5"/>
        <v>4.0198367450362982E-2</v>
      </c>
      <c r="G35" s="95">
        <f t="shared" si="5"/>
        <v>0.1205148549766375</v>
      </c>
      <c r="H35" s="95">
        <f t="shared" si="5"/>
        <v>0.13931236476424758</v>
      </c>
      <c r="I35" s="95">
        <f>SUM(I30/I17-1)</f>
        <v>5.7601768387207875E-2</v>
      </c>
      <c r="J35" s="95">
        <f t="shared" si="5"/>
        <v>0.10539260272577122</v>
      </c>
      <c r="K35" s="95">
        <f t="shared" si="5"/>
        <v>0.1570070768118188</v>
      </c>
      <c r="L35" s="95">
        <f t="shared" si="5"/>
        <v>9.5555249089389838E-2</v>
      </c>
      <c r="M35" s="95">
        <f t="shared" si="5"/>
        <v>0.1180993499563403</v>
      </c>
      <c r="N35" s="95">
        <f t="shared" si="5"/>
        <v>0.12021578951378786</v>
      </c>
      <c r="O35" s="85"/>
      <c r="P35" s="95">
        <f>SUM(P30/P17-1)</f>
        <v>0.11519169326863077</v>
      </c>
      <c r="Q35" s="98"/>
      <c r="R35" s="98"/>
      <c r="S35" s="98"/>
      <c r="T35" s="98"/>
      <c r="U35" s="98"/>
      <c r="V35" s="98"/>
      <c r="W35" s="98"/>
      <c r="X35" s="98"/>
      <c r="Y35" s="98"/>
      <c r="Z35" s="98"/>
    </row>
    <row r="36" spans="1:26" ht="0.75" hidden="1" customHeight="1">
      <c r="A36" s="56"/>
      <c r="B36" s="56"/>
      <c r="C36" s="56"/>
      <c r="D36" s="56"/>
      <c r="E36" s="56"/>
      <c r="F36" s="56"/>
      <c r="G36" s="56"/>
      <c r="H36" s="56"/>
      <c r="I36" s="56"/>
      <c r="J36" s="56"/>
      <c r="K36" s="56"/>
      <c r="L36" s="56"/>
      <c r="M36" s="56"/>
      <c r="N36" s="56"/>
      <c r="O36" s="56"/>
      <c r="P36" s="56"/>
      <c r="Q36" s="98"/>
      <c r="R36" s="98"/>
      <c r="S36" s="98"/>
      <c r="T36" s="98"/>
      <c r="U36" s="98"/>
      <c r="V36" s="98"/>
      <c r="W36" s="98"/>
      <c r="X36" s="98"/>
      <c r="Y36" s="98"/>
      <c r="Z36" s="98"/>
    </row>
    <row r="37" spans="1:26" ht="0.75" hidden="1" customHeight="1">
      <c r="A37" s="56"/>
      <c r="B37" s="56"/>
      <c r="C37" s="56"/>
      <c r="D37" s="56"/>
      <c r="E37" s="56"/>
      <c r="F37" s="56"/>
      <c r="G37" s="56"/>
      <c r="H37" s="56"/>
      <c r="I37" s="56"/>
      <c r="J37" s="56"/>
      <c r="K37" s="56"/>
      <c r="L37" s="56"/>
      <c r="M37" s="56"/>
      <c r="N37" s="56"/>
      <c r="O37" s="56"/>
      <c r="P37" s="56"/>
      <c r="Q37" s="98"/>
      <c r="R37" s="98"/>
      <c r="S37" s="98"/>
      <c r="T37" s="98"/>
      <c r="U37" s="98"/>
      <c r="V37" s="98"/>
      <c r="W37" s="98"/>
      <c r="X37" s="98"/>
      <c r="Y37" s="98"/>
      <c r="Z37" s="98"/>
    </row>
    <row r="38" spans="1:26" ht="0.75" hidden="1" customHeight="1">
      <c r="A38" s="5443" t="s">
        <v>234</v>
      </c>
      <c r="B38" s="5444"/>
      <c r="C38" s="5444"/>
      <c r="D38" s="5444"/>
      <c r="E38" s="5444"/>
      <c r="F38" s="5444"/>
      <c r="G38" s="5444"/>
      <c r="H38" s="5444"/>
      <c r="I38" s="5444"/>
      <c r="J38" s="5444"/>
      <c r="K38" s="5444"/>
      <c r="L38" s="5444"/>
      <c r="M38" s="5444"/>
      <c r="N38" s="5444"/>
      <c r="O38" s="5444"/>
      <c r="P38" s="5445"/>
      <c r="Q38" s="61"/>
      <c r="R38" s="98"/>
      <c r="S38" s="98"/>
      <c r="T38" s="98"/>
      <c r="U38" s="98"/>
      <c r="V38" s="98"/>
      <c r="W38" s="98"/>
      <c r="X38" s="98"/>
      <c r="Y38" s="98"/>
      <c r="Z38" s="98"/>
    </row>
    <row r="39" spans="1:26" ht="0.75" hidden="1" customHeight="1">
      <c r="A39" s="62" t="s">
        <v>217</v>
      </c>
      <c r="B39" s="348"/>
      <c r="C39" s="63" t="s">
        <v>218</v>
      </c>
      <c r="D39" s="63" t="s">
        <v>207</v>
      </c>
      <c r="E39" s="63" t="s">
        <v>208</v>
      </c>
      <c r="F39" s="63" t="s">
        <v>219</v>
      </c>
      <c r="G39" s="63" t="s">
        <v>209</v>
      </c>
      <c r="H39" s="63" t="s">
        <v>210</v>
      </c>
      <c r="I39" s="63" t="s">
        <v>220</v>
      </c>
      <c r="J39" s="63" t="s">
        <v>221</v>
      </c>
      <c r="K39" s="63" t="s">
        <v>211</v>
      </c>
      <c r="L39" s="63" t="s">
        <v>212</v>
      </c>
      <c r="M39" s="63" t="s">
        <v>213</v>
      </c>
      <c r="N39" s="63" t="s">
        <v>222</v>
      </c>
      <c r="O39" s="63" t="s">
        <v>223</v>
      </c>
      <c r="P39" s="64" t="s">
        <v>151</v>
      </c>
      <c r="Q39" s="98"/>
      <c r="R39" s="98"/>
      <c r="S39" s="98"/>
      <c r="T39" s="98"/>
      <c r="U39" s="98"/>
      <c r="V39" s="98"/>
      <c r="W39" s="98"/>
      <c r="X39" s="98"/>
      <c r="Y39" s="98"/>
      <c r="Z39" s="98"/>
    </row>
    <row r="40" spans="1:26" ht="0.75" hidden="1" customHeight="1">
      <c r="A40" s="65" t="s">
        <v>224</v>
      </c>
      <c r="B40" s="349"/>
      <c r="C40" s="74">
        <v>52660</v>
      </c>
      <c r="D40" s="74">
        <v>49163</v>
      </c>
      <c r="E40" s="74">
        <f>554+48426</f>
        <v>48980</v>
      </c>
      <c r="F40" s="74">
        <v>47900</v>
      </c>
      <c r="G40" s="74">
        <v>48075</v>
      </c>
      <c r="H40" s="74">
        <v>59405</v>
      </c>
      <c r="I40" s="74">
        <v>73357</v>
      </c>
      <c r="J40" s="74">
        <v>70796</v>
      </c>
      <c r="K40" s="74">
        <v>54319</v>
      </c>
      <c r="L40" s="74">
        <v>53907</v>
      </c>
      <c r="M40" s="74">
        <f>55960+1763</f>
        <v>57723</v>
      </c>
      <c r="N40" s="74">
        <f>61406+2187</f>
        <v>63593</v>
      </c>
      <c r="O40" s="60">
        <f>AVERAGE(C40:N40)</f>
        <v>56656.5</v>
      </c>
      <c r="P40" s="68">
        <f>SUM(C40:N40)</f>
        <v>679878</v>
      </c>
      <c r="Q40" s="98"/>
      <c r="R40" s="98"/>
      <c r="S40" s="98"/>
      <c r="T40" s="98"/>
      <c r="U40" s="98"/>
      <c r="V40" s="98"/>
      <c r="W40" s="98"/>
      <c r="X40" s="98"/>
      <c r="Y40" s="98"/>
      <c r="Z40" s="98"/>
    </row>
    <row r="41" spans="1:26" ht="0.75" hidden="1" customHeight="1">
      <c r="A41" s="65" t="s">
        <v>231</v>
      </c>
      <c r="B41" s="349"/>
      <c r="C41" s="74">
        <v>21094</v>
      </c>
      <c r="D41" s="74">
        <v>17942</v>
      </c>
      <c r="E41" s="74">
        <v>19384</v>
      </c>
      <c r="F41" s="74">
        <v>16318</v>
      </c>
      <c r="G41" s="74">
        <v>14062</v>
      </c>
      <c r="H41" s="74">
        <v>15094</v>
      </c>
      <c r="I41" s="74">
        <v>16180</v>
      </c>
      <c r="J41" s="74">
        <v>14313</v>
      </c>
      <c r="K41" s="74">
        <v>12107</v>
      </c>
      <c r="L41" s="74">
        <v>14211</v>
      </c>
      <c r="M41" s="74">
        <v>15319</v>
      </c>
      <c r="N41" s="74">
        <v>20792</v>
      </c>
      <c r="O41" s="60">
        <f>AVERAGE(C41:N41)</f>
        <v>16401.333333333332</v>
      </c>
      <c r="P41" s="68">
        <f>SUM(C41:N41)</f>
        <v>196816</v>
      </c>
      <c r="Q41" s="98"/>
      <c r="R41" s="98"/>
      <c r="S41" s="98"/>
      <c r="T41" s="98"/>
      <c r="U41" s="98"/>
      <c r="V41" s="98"/>
      <c r="W41" s="98"/>
      <c r="X41" s="98"/>
      <c r="Y41" s="98"/>
      <c r="Z41" s="98"/>
    </row>
    <row r="42" spans="1:26" ht="25.8" hidden="1" customHeight="1" thickBot="1">
      <c r="A42" s="65" t="s">
        <v>225</v>
      </c>
      <c r="B42" s="349"/>
      <c r="C42" s="74">
        <v>90281</v>
      </c>
      <c r="D42" s="74">
        <v>80848</v>
      </c>
      <c r="E42" s="74">
        <v>97554</v>
      </c>
      <c r="F42" s="74">
        <v>90948</v>
      </c>
      <c r="G42" s="74">
        <v>98614</v>
      </c>
      <c r="H42" s="74">
        <v>95134</v>
      </c>
      <c r="I42" s="74">
        <f>106169+6290</f>
        <v>112459</v>
      </c>
      <c r="J42" s="74">
        <v>118122</v>
      </c>
      <c r="K42" s="74">
        <v>105285</v>
      </c>
      <c r="L42" s="74">
        <v>102931</v>
      </c>
      <c r="M42" s="74">
        <f>98691+5804</f>
        <v>104495</v>
      </c>
      <c r="N42" s="74">
        <f>112964+6198</f>
        <v>119162</v>
      </c>
      <c r="O42" s="60">
        <f>AVERAGE(C42:N42)</f>
        <v>101319.41666666667</v>
      </c>
      <c r="P42" s="68">
        <f>SUM(C42:N42)</f>
        <v>1215833</v>
      </c>
      <c r="Q42" s="98"/>
      <c r="R42" s="98"/>
      <c r="S42" s="98"/>
      <c r="T42" s="98"/>
      <c r="U42" s="98"/>
      <c r="V42" s="98"/>
      <c r="W42" s="98"/>
      <c r="X42" s="98"/>
      <c r="Y42" s="98"/>
      <c r="Z42" s="98"/>
    </row>
    <row r="43" spans="1:26" ht="25.8" hidden="1" customHeight="1" thickBot="1">
      <c r="A43" s="69" t="s">
        <v>235</v>
      </c>
      <c r="B43" s="350"/>
      <c r="C43" s="77">
        <f t="shared" ref="C43:L43" si="6">SUM(C40+C42)</f>
        <v>142941</v>
      </c>
      <c r="D43" s="77">
        <f t="shared" si="6"/>
        <v>130011</v>
      </c>
      <c r="E43" s="77">
        <f t="shared" si="6"/>
        <v>146534</v>
      </c>
      <c r="F43" s="77">
        <f t="shared" si="6"/>
        <v>138848</v>
      </c>
      <c r="G43" s="77">
        <f t="shared" si="6"/>
        <v>146689</v>
      </c>
      <c r="H43" s="77">
        <f t="shared" si="6"/>
        <v>154539</v>
      </c>
      <c r="I43" s="77">
        <f t="shared" si="6"/>
        <v>185816</v>
      </c>
      <c r="J43" s="77">
        <f t="shared" si="6"/>
        <v>188918</v>
      </c>
      <c r="K43" s="77">
        <f t="shared" si="6"/>
        <v>159604</v>
      </c>
      <c r="L43" s="77">
        <f t="shared" si="6"/>
        <v>156838</v>
      </c>
      <c r="M43" s="77">
        <f>SUM(M40+M42)</f>
        <v>162218</v>
      </c>
      <c r="N43" s="77">
        <f>SUM(N40+N42)</f>
        <v>182755</v>
      </c>
      <c r="O43" s="77">
        <f>SUM(O40+O42)</f>
        <v>157975.91666666669</v>
      </c>
      <c r="P43" s="93">
        <f>SUM(P40+P42)</f>
        <v>1895711</v>
      </c>
      <c r="Q43" s="98"/>
      <c r="R43" s="98"/>
      <c r="S43" s="98"/>
      <c r="T43" s="98"/>
      <c r="U43" s="98"/>
      <c r="V43" s="98"/>
      <c r="W43" s="98"/>
      <c r="X43" s="98"/>
      <c r="Y43" s="98"/>
      <c r="Z43" s="98"/>
    </row>
    <row r="44" spans="1:26" ht="25.8" hidden="1" customHeight="1">
      <c r="A44" s="56"/>
      <c r="B44" s="56"/>
      <c r="C44" s="56"/>
      <c r="D44" s="56"/>
      <c r="E44" s="56"/>
      <c r="F44" s="56"/>
      <c r="G44" s="56"/>
      <c r="H44" s="56"/>
      <c r="I44" s="56"/>
      <c r="J44" s="56"/>
      <c r="K44" s="56"/>
      <c r="L44" s="56"/>
      <c r="M44" s="56"/>
      <c r="N44" s="56"/>
      <c r="O44" s="56"/>
      <c r="P44" s="56"/>
      <c r="Q44" s="98"/>
      <c r="R44" s="98"/>
      <c r="S44" s="98"/>
      <c r="T44" s="98"/>
      <c r="U44" s="98"/>
      <c r="V44" s="98"/>
      <c r="W44" s="98"/>
      <c r="X44" s="98"/>
      <c r="Y44" s="98"/>
      <c r="Z44" s="98"/>
    </row>
    <row r="45" spans="1:26" ht="25.8" hidden="1" customHeight="1">
      <c r="A45" s="80" t="s">
        <v>236</v>
      </c>
      <c r="B45" s="80"/>
      <c r="C45" s="94"/>
      <c r="D45" s="94"/>
      <c r="E45" s="94"/>
      <c r="F45" s="94"/>
      <c r="G45" s="94"/>
      <c r="H45" s="94"/>
      <c r="I45" s="94"/>
      <c r="J45" s="94"/>
      <c r="K45" s="94"/>
      <c r="L45" s="94"/>
      <c r="M45" s="94"/>
      <c r="N45" s="94"/>
      <c r="O45" s="95"/>
      <c r="P45" s="94"/>
      <c r="Q45" s="98"/>
      <c r="R45" s="98"/>
      <c r="S45" s="98"/>
      <c r="T45" s="98"/>
      <c r="U45" s="98"/>
      <c r="V45" s="98"/>
      <c r="W45" s="98"/>
      <c r="X45" s="98"/>
      <c r="Y45" s="98"/>
      <c r="Z45" s="98"/>
    </row>
    <row r="46" spans="1:26" ht="25.8" hidden="1" customHeight="1">
      <c r="A46" s="83" t="s">
        <v>224</v>
      </c>
      <c r="B46" s="83"/>
      <c r="C46" s="95">
        <f t="shared" ref="C46:N46" si="7">SUM(C40/C27-1)</f>
        <v>1.177781620458429E-2</v>
      </c>
      <c r="D46" s="95">
        <f t="shared" si="7"/>
        <v>0.11597130794025512</v>
      </c>
      <c r="E46" s="95">
        <f t="shared" si="7"/>
        <v>-1.9831502271317358E-2</v>
      </c>
      <c r="F46" s="95">
        <f t="shared" si="7"/>
        <v>0.11900200906414993</v>
      </c>
      <c r="G46" s="95">
        <f t="shared" si="7"/>
        <v>-1.4937300221293359E-2</v>
      </c>
      <c r="H46" s="95">
        <f t="shared" si="7"/>
        <v>6.5293020586758566E-2</v>
      </c>
      <c r="I46" s="95">
        <f>SUM(I40/I27-1)</f>
        <v>6.651449507138496E-2</v>
      </c>
      <c r="J46" s="95">
        <f t="shared" si="7"/>
        <v>6.9716841437248878E-2</v>
      </c>
      <c r="K46" s="95">
        <f t="shared" si="7"/>
        <v>6.5454474128123552E-2</v>
      </c>
      <c r="L46" s="95">
        <f t="shared" si="7"/>
        <v>8.1753055204382585E-2</v>
      </c>
      <c r="M46" s="95">
        <f t="shared" si="7"/>
        <v>0.14185393258426959</v>
      </c>
      <c r="N46" s="95">
        <f t="shared" si="7"/>
        <v>0.1003010588968094</v>
      </c>
      <c r="O46" s="95"/>
      <c r="P46" s="95">
        <f>+(P40-P27)/P27</f>
        <v>6.6353186223381475E-2</v>
      </c>
      <c r="Q46" s="98"/>
      <c r="R46" s="98"/>
      <c r="S46" s="98"/>
      <c r="T46" s="98"/>
      <c r="U46" s="98"/>
      <c r="V46" s="98"/>
      <c r="W46" s="98"/>
      <c r="X46" s="98"/>
      <c r="Y46" s="98"/>
      <c r="Z46" s="98"/>
    </row>
    <row r="47" spans="1:26" ht="25.8" hidden="1" customHeight="1">
      <c r="A47" s="83" t="s">
        <v>225</v>
      </c>
      <c r="B47" s="83"/>
      <c r="C47" s="95">
        <f t="shared" ref="C47:N48" si="8">SUM(C42/C29-1)</f>
        <v>0.16239635371066585</v>
      </c>
      <c r="D47" s="95">
        <f t="shared" si="8"/>
        <v>0.13012482701743111</v>
      </c>
      <c r="E47" s="95">
        <f t="shared" si="8"/>
        <v>0.18889999268774216</v>
      </c>
      <c r="F47" s="95">
        <f t="shared" si="8"/>
        <v>0.26075022872827081</v>
      </c>
      <c r="G47" s="95">
        <f t="shared" si="8"/>
        <v>0.25950240114437517</v>
      </c>
      <c r="H47" s="95">
        <f t="shared" si="8"/>
        <v>0.15012814933023844</v>
      </c>
      <c r="I47" s="95">
        <f>SUM(I42/I29-1)</f>
        <v>0.4311402392466277</v>
      </c>
      <c r="J47" s="95">
        <f t="shared" si="8"/>
        <v>0.37782132484165598</v>
      </c>
      <c r="K47" s="95">
        <f t="shared" si="8"/>
        <v>0.26227385533935177</v>
      </c>
      <c r="L47" s="95">
        <f t="shared" si="8"/>
        <v>0.20789767059789943</v>
      </c>
      <c r="M47" s="95">
        <f t="shared" si="8"/>
        <v>0.19097550690115006</v>
      </c>
      <c r="N47" s="95">
        <f t="shared" si="8"/>
        <v>0.33559739968616897</v>
      </c>
      <c r="O47" s="95"/>
      <c r="P47" s="95">
        <f>+(P42-P29)/P29</f>
        <v>0.24789773222964062</v>
      </c>
      <c r="Q47" s="98"/>
      <c r="R47" s="98"/>
      <c r="S47" s="98"/>
      <c r="T47" s="98"/>
      <c r="U47" s="98"/>
      <c r="V47" s="98"/>
      <c r="W47" s="98"/>
      <c r="X47" s="98"/>
      <c r="Y47" s="98"/>
      <c r="Z47" s="98"/>
    </row>
    <row r="48" spans="1:26" ht="25.8" hidden="1" customHeight="1">
      <c r="A48" s="86" t="s">
        <v>151</v>
      </c>
      <c r="B48" s="86"/>
      <c r="C48" s="95">
        <f t="shared" si="8"/>
        <v>0.10196199360135672</v>
      </c>
      <c r="D48" s="95">
        <f t="shared" si="8"/>
        <v>0.12473073629025988</v>
      </c>
      <c r="E48" s="95">
        <f t="shared" si="8"/>
        <v>0.10989585305813288</v>
      </c>
      <c r="F48" s="95">
        <f t="shared" si="8"/>
        <v>0.2079621380846326</v>
      </c>
      <c r="G48" s="95">
        <f t="shared" si="8"/>
        <v>0.1541227380015735</v>
      </c>
      <c r="H48" s="95">
        <f t="shared" si="8"/>
        <v>0.11596620450606587</v>
      </c>
      <c r="I48" s="95">
        <f>SUM(I43/I30-1)</f>
        <v>0.26094922707346524</v>
      </c>
      <c r="J48" s="95">
        <f t="shared" si="8"/>
        <v>0.24359337252243063</v>
      </c>
      <c r="K48" s="95">
        <f t="shared" si="8"/>
        <v>0.18760928931252829</v>
      </c>
      <c r="L48" s="95">
        <f t="shared" si="8"/>
        <v>0.16135003850482788</v>
      </c>
      <c r="M48" s="95">
        <f t="shared" si="8"/>
        <v>0.17301921310858992</v>
      </c>
      <c r="N48" s="95">
        <f t="shared" si="8"/>
        <v>0.24309598955215761</v>
      </c>
      <c r="O48" s="95"/>
      <c r="P48" s="95">
        <f>+(P43-P30)/P30</f>
        <v>0.17608838882347175</v>
      </c>
      <c r="Q48" s="98"/>
      <c r="R48" s="98"/>
      <c r="S48" s="98"/>
      <c r="T48" s="98"/>
      <c r="U48" s="98"/>
      <c r="V48" s="98"/>
      <c r="W48" s="98"/>
      <c r="X48" s="98"/>
      <c r="Y48" s="98"/>
      <c r="Z48" s="98"/>
    </row>
    <row r="49" spans="1:26" ht="25.8" hidden="1" customHeight="1">
      <c r="A49" s="56"/>
      <c r="B49" s="56"/>
      <c r="C49" s="56"/>
      <c r="D49" s="56"/>
      <c r="E49" s="56"/>
      <c r="F49" s="56"/>
      <c r="G49" s="56"/>
      <c r="H49" s="56"/>
      <c r="I49" s="56"/>
      <c r="J49" s="56"/>
      <c r="K49" s="56"/>
      <c r="L49" s="56"/>
      <c r="M49" s="56"/>
      <c r="N49" s="56"/>
      <c r="O49" s="56"/>
      <c r="P49" s="56"/>
      <c r="Q49" s="98"/>
      <c r="R49" s="98"/>
      <c r="S49" s="98"/>
      <c r="T49" s="98"/>
      <c r="U49" s="98"/>
      <c r="V49" s="98"/>
      <c r="W49" s="98"/>
      <c r="X49" s="98"/>
      <c r="Y49" s="98"/>
      <c r="Z49" s="98"/>
    </row>
    <row r="50" spans="1:26" ht="25.8" hidden="1" customHeight="1">
      <c r="A50" s="56"/>
      <c r="B50" s="56"/>
      <c r="C50" s="56"/>
      <c r="D50" s="56"/>
      <c r="E50" s="56"/>
      <c r="F50" s="56"/>
      <c r="G50" s="56"/>
      <c r="H50" s="56"/>
      <c r="I50" s="56"/>
      <c r="J50" s="56"/>
      <c r="K50" s="56"/>
      <c r="L50" s="56"/>
      <c r="M50" s="56"/>
      <c r="N50" s="56"/>
      <c r="O50" s="56"/>
      <c r="P50" s="56"/>
      <c r="Q50" s="98"/>
      <c r="R50" s="98"/>
      <c r="S50" s="98"/>
      <c r="T50" s="98"/>
      <c r="U50" s="98"/>
      <c r="V50" s="98"/>
      <c r="W50" s="98"/>
      <c r="X50" s="98"/>
      <c r="Y50" s="98"/>
      <c r="Z50" s="98"/>
    </row>
    <row r="51" spans="1:26" ht="25.8" hidden="1" customHeight="1">
      <c r="A51" s="5443" t="s">
        <v>237</v>
      </c>
      <c r="B51" s="5444"/>
      <c r="C51" s="5444"/>
      <c r="D51" s="5444"/>
      <c r="E51" s="5444"/>
      <c r="F51" s="5444"/>
      <c r="G51" s="5444"/>
      <c r="H51" s="5444"/>
      <c r="I51" s="5444"/>
      <c r="J51" s="5444"/>
      <c r="K51" s="5444"/>
      <c r="L51" s="5444"/>
      <c r="M51" s="5444"/>
      <c r="N51" s="5444"/>
      <c r="O51" s="5444"/>
      <c r="P51" s="5445"/>
      <c r="Q51" s="98"/>
      <c r="R51" s="98"/>
      <c r="S51" s="98"/>
      <c r="T51" s="98"/>
      <c r="U51" s="98"/>
      <c r="V51" s="98"/>
      <c r="W51" s="98"/>
      <c r="X51" s="98"/>
      <c r="Y51" s="98"/>
      <c r="Z51" s="98"/>
    </row>
    <row r="52" spans="1:26" ht="25.8" hidden="1" customHeight="1">
      <c r="A52" s="62" t="s">
        <v>217</v>
      </c>
      <c r="B52" s="348"/>
      <c r="C52" s="63" t="s">
        <v>218</v>
      </c>
      <c r="D52" s="63" t="s">
        <v>207</v>
      </c>
      <c r="E52" s="63" t="s">
        <v>208</v>
      </c>
      <c r="F52" s="63" t="s">
        <v>219</v>
      </c>
      <c r="G52" s="63" t="s">
        <v>209</v>
      </c>
      <c r="H52" s="63" t="s">
        <v>210</v>
      </c>
      <c r="I52" s="63" t="s">
        <v>220</v>
      </c>
      <c r="J52" s="63" t="s">
        <v>221</v>
      </c>
      <c r="K52" s="63" t="s">
        <v>211</v>
      </c>
      <c r="L52" s="63" t="s">
        <v>212</v>
      </c>
      <c r="M52" s="63" t="s">
        <v>213</v>
      </c>
      <c r="N52" s="63" t="s">
        <v>222</v>
      </c>
      <c r="O52" s="63" t="s">
        <v>223</v>
      </c>
      <c r="P52" s="64" t="s">
        <v>151</v>
      </c>
      <c r="Q52" s="359"/>
      <c r="R52" s="360">
        <v>2007</v>
      </c>
      <c r="S52" s="360">
        <v>2008</v>
      </c>
      <c r="T52" s="360">
        <v>2009</v>
      </c>
      <c r="U52" s="360">
        <v>2010</v>
      </c>
      <c r="V52" s="360">
        <v>2011</v>
      </c>
      <c r="W52" s="360">
        <v>2012</v>
      </c>
      <c r="X52" s="360">
        <v>2013</v>
      </c>
      <c r="Y52" s="360">
        <v>2014</v>
      </c>
      <c r="Z52" s="361">
        <v>2015</v>
      </c>
    </row>
    <row r="53" spans="1:26" ht="25.8" hidden="1" customHeight="1">
      <c r="A53" s="65" t="s">
        <v>224</v>
      </c>
      <c r="B53" s="349"/>
      <c r="C53" s="74">
        <f>57876+860</f>
        <v>58736</v>
      </c>
      <c r="D53" s="74">
        <f>52375+2054</f>
        <v>54429</v>
      </c>
      <c r="E53" s="74">
        <f>57260+2393</f>
        <v>59653</v>
      </c>
      <c r="F53" s="74">
        <f>52176+2856</f>
        <v>55032</v>
      </c>
      <c r="G53" s="74">
        <f>56376+3543</f>
        <v>59919</v>
      </c>
      <c r="H53" s="74">
        <f>70648+3710</f>
        <v>74358</v>
      </c>
      <c r="I53" s="74">
        <f>75950+6896</f>
        <v>82846</v>
      </c>
      <c r="J53" s="74">
        <f>76368+7019</f>
        <v>83387</v>
      </c>
      <c r="K53" s="74">
        <f>58169+2881</f>
        <v>61050</v>
      </c>
      <c r="L53" s="74">
        <f>58742+1953</f>
        <v>60695</v>
      </c>
      <c r="M53" s="74">
        <f>57253+1818</f>
        <v>59071</v>
      </c>
      <c r="N53" s="74">
        <f>63943+2375</f>
        <v>66318</v>
      </c>
      <c r="O53" s="60">
        <f>AVERAGE(C53:N53)</f>
        <v>64624.5</v>
      </c>
      <c r="P53" s="68">
        <f>SUM(C53:N53)</f>
        <v>775494</v>
      </c>
      <c r="Q53" s="62" t="s">
        <v>224</v>
      </c>
      <c r="R53" s="362">
        <f>P53</f>
        <v>775494</v>
      </c>
      <c r="S53" s="362">
        <f>P65</f>
        <v>791950</v>
      </c>
      <c r="T53" s="362">
        <f>P78</f>
        <v>818875</v>
      </c>
      <c r="U53" s="362">
        <f>P91</f>
        <v>865470</v>
      </c>
      <c r="V53" s="362">
        <f>P103</f>
        <v>861811</v>
      </c>
      <c r="W53" s="362">
        <f>P115</f>
        <v>962752</v>
      </c>
      <c r="X53" s="362">
        <f>P127</f>
        <v>1079183</v>
      </c>
      <c r="Y53" s="362">
        <f>P139</f>
        <v>1190692</v>
      </c>
      <c r="Z53" s="362">
        <f>P151</f>
        <v>1215331</v>
      </c>
    </row>
    <row r="54" spans="1:26" ht="25.8" hidden="1" customHeight="1">
      <c r="A54" s="65" t="s">
        <v>231</v>
      </c>
      <c r="B54" s="349"/>
      <c r="C54" s="74">
        <v>18984</v>
      </c>
      <c r="D54" s="74">
        <v>18535</v>
      </c>
      <c r="E54" s="74">
        <v>19775</v>
      </c>
      <c r="F54" s="74">
        <v>14156</v>
      </c>
      <c r="G54" s="74">
        <v>12937</v>
      </c>
      <c r="H54" s="74">
        <v>13171</v>
      </c>
      <c r="I54" s="74">
        <v>13913</v>
      </c>
      <c r="J54" s="74">
        <v>13187</v>
      </c>
      <c r="K54" s="74">
        <v>13049</v>
      </c>
      <c r="L54" s="74">
        <v>11920</v>
      </c>
      <c r="M54" s="74">
        <v>12286</v>
      </c>
      <c r="N54" s="74">
        <v>16136</v>
      </c>
      <c r="O54" s="60">
        <f>AVERAGE(C54:N54)</f>
        <v>14837.416666666666</v>
      </c>
      <c r="P54" s="68">
        <f>SUM(C54:N54)</f>
        <v>178049</v>
      </c>
      <c r="Q54" s="62" t="s">
        <v>231</v>
      </c>
      <c r="R54" s="362">
        <f>P54</f>
        <v>178049</v>
      </c>
      <c r="S54" s="362">
        <f>P66</f>
        <v>143787</v>
      </c>
      <c r="T54" s="362">
        <f>P79</f>
        <v>115668</v>
      </c>
      <c r="U54" s="362">
        <f>P92</f>
        <v>111164</v>
      </c>
      <c r="V54" s="362">
        <f>P104</f>
        <v>118840</v>
      </c>
      <c r="W54" s="362">
        <f>P116</f>
        <v>102964</v>
      </c>
      <c r="X54" s="362">
        <f>P128</f>
        <v>114788</v>
      </c>
      <c r="Y54" s="362">
        <f>P140</f>
        <v>125958</v>
      </c>
      <c r="Z54" s="362">
        <f>P152</f>
        <v>112957</v>
      </c>
    </row>
    <row r="55" spans="1:26" ht="25.8" hidden="1" customHeight="1" thickBot="1">
      <c r="A55" s="65" t="s">
        <v>225</v>
      </c>
      <c r="B55" s="349"/>
      <c r="C55" s="74">
        <f>106610+6841</f>
        <v>113451</v>
      </c>
      <c r="D55" s="74">
        <f>91599+6158</f>
        <v>97757</v>
      </c>
      <c r="E55" s="74">
        <f>107073+6402</f>
        <v>113475</v>
      </c>
      <c r="F55" s="74">
        <f>104091+6457</f>
        <v>110548</v>
      </c>
      <c r="G55" s="74">
        <f>105246+8255</f>
        <v>113501</v>
      </c>
      <c r="H55" s="74">
        <f>107881+6206</f>
        <v>114087</v>
      </c>
      <c r="I55" s="74">
        <f>118009+7288</f>
        <v>125297</v>
      </c>
      <c r="J55" s="74">
        <f>120093+9556</f>
        <v>129649</v>
      </c>
      <c r="K55" s="74">
        <f>99897+7076</f>
        <v>106973</v>
      </c>
      <c r="L55" s="74">
        <f>108878+7843</f>
        <v>116721</v>
      </c>
      <c r="M55" s="74">
        <f>102483+6936</f>
        <v>109419</v>
      </c>
      <c r="N55" s="74">
        <f>95156+7011</f>
        <v>102167</v>
      </c>
      <c r="O55" s="60">
        <f>AVERAGE(C55:N55)</f>
        <v>112753.75</v>
      </c>
      <c r="P55" s="68">
        <f>SUM(C55:N55)</f>
        <v>1353045</v>
      </c>
      <c r="Q55" s="62" t="s">
        <v>225</v>
      </c>
      <c r="R55" s="362">
        <f>P55</f>
        <v>1353045</v>
      </c>
      <c r="S55" s="362">
        <f>P67</f>
        <v>1459550</v>
      </c>
      <c r="T55" s="362">
        <f>P80</f>
        <v>1533213</v>
      </c>
      <c r="U55" s="362">
        <f>P93</f>
        <v>1642928</v>
      </c>
      <c r="V55" s="362">
        <f>P105</f>
        <v>1824792</v>
      </c>
      <c r="W55" s="362">
        <f>P117</f>
        <v>1664689</v>
      </c>
      <c r="X55" s="362">
        <f>P129</f>
        <v>1647667</v>
      </c>
      <c r="Y55" s="362">
        <f>P141</f>
        <v>1626716</v>
      </c>
      <c r="Z55" s="362">
        <f>P153</f>
        <v>1478683</v>
      </c>
    </row>
    <row r="56" spans="1:26" ht="25.8" hidden="1" customHeight="1" thickBot="1">
      <c r="A56" s="69" t="s">
        <v>238</v>
      </c>
      <c r="B56" s="350"/>
      <c r="C56" s="77">
        <f t="shared" ref="C56:N56" si="9">SUM(C53+C55)</f>
        <v>172187</v>
      </c>
      <c r="D56" s="77">
        <f t="shared" si="9"/>
        <v>152186</v>
      </c>
      <c r="E56" s="77">
        <f t="shared" si="9"/>
        <v>173128</v>
      </c>
      <c r="F56" s="77">
        <f t="shared" si="9"/>
        <v>165580</v>
      </c>
      <c r="G56" s="77">
        <f t="shared" si="9"/>
        <v>173420</v>
      </c>
      <c r="H56" s="77">
        <f t="shared" si="9"/>
        <v>188445</v>
      </c>
      <c r="I56" s="77">
        <f t="shared" si="9"/>
        <v>208143</v>
      </c>
      <c r="J56" s="77">
        <f t="shared" si="9"/>
        <v>213036</v>
      </c>
      <c r="K56" s="77">
        <f t="shared" si="9"/>
        <v>168023</v>
      </c>
      <c r="L56" s="77">
        <f t="shared" si="9"/>
        <v>177416</v>
      </c>
      <c r="M56" s="77">
        <f t="shared" si="9"/>
        <v>168490</v>
      </c>
      <c r="N56" s="77">
        <f t="shared" si="9"/>
        <v>168485</v>
      </c>
      <c r="O56" s="77">
        <f>SUM(O53+O55)</f>
        <v>177378.25</v>
      </c>
      <c r="P56" s="93">
        <f>SUM(P53+P55)</f>
        <v>2128539</v>
      </c>
      <c r="Q56" s="363" t="s">
        <v>32</v>
      </c>
      <c r="R56" s="364">
        <f>SUM(R52:R55)</f>
        <v>2308595</v>
      </c>
      <c r="S56" s="364">
        <f t="shared" ref="S56:Z56" si="10">SUM(S52:S55)</f>
        <v>2397295</v>
      </c>
      <c r="T56" s="364">
        <f t="shared" si="10"/>
        <v>2469765</v>
      </c>
      <c r="U56" s="364">
        <f t="shared" si="10"/>
        <v>2621572</v>
      </c>
      <c r="V56" s="364">
        <f t="shared" si="10"/>
        <v>2807454</v>
      </c>
      <c r="W56" s="364">
        <f t="shared" si="10"/>
        <v>2732417</v>
      </c>
      <c r="X56" s="364">
        <f t="shared" si="10"/>
        <v>2843651</v>
      </c>
      <c r="Y56" s="364">
        <f t="shared" si="10"/>
        <v>2945380</v>
      </c>
      <c r="Z56" s="364">
        <f t="shared" si="10"/>
        <v>2808986</v>
      </c>
    </row>
    <row r="57" spans="1:26" ht="25.8" hidden="1" customHeight="1">
      <c r="A57" s="56"/>
      <c r="B57" s="56"/>
      <c r="C57" s="56"/>
      <c r="D57" s="56"/>
      <c r="E57" s="56"/>
      <c r="F57" s="56"/>
      <c r="G57" s="56"/>
      <c r="H57" s="56"/>
      <c r="I57" s="56"/>
      <c r="J57" s="56"/>
      <c r="K57" s="56"/>
      <c r="L57" s="56"/>
      <c r="M57" s="56"/>
      <c r="N57" s="56"/>
      <c r="O57" s="56"/>
      <c r="P57" s="56"/>
      <c r="Q57" s="365" t="s">
        <v>512</v>
      </c>
      <c r="R57" s="366"/>
      <c r="S57" s="367">
        <f t="shared" ref="S57:Y57" si="11">S56/R56-1</f>
        <v>3.8421637402835884E-2</v>
      </c>
      <c r="T57" s="367">
        <f t="shared" si="11"/>
        <v>3.0229904955376696E-2</v>
      </c>
      <c r="U57" s="367">
        <f t="shared" si="11"/>
        <v>6.1466171882750054E-2</v>
      </c>
      <c r="V57" s="367">
        <f t="shared" si="11"/>
        <v>7.0904785373050894E-2</v>
      </c>
      <c r="W57" s="367">
        <f t="shared" si="11"/>
        <v>-2.6727775415020139E-2</v>
      </c>
      <c r="X57" s="367">
        <f t="shared" si="11"/>
        <v>4.0709013302142383E-2</v>
      </c>
      <c r="Y57" s="367">
        <f t="shared" si="11"/>
        <v>3.5774080574585199E-2</v>
      </c>
      <c r="Z57" s="367">
        <f>Z56/Y56-1</f>
        <v>-4.630777692521848E-2</v>
      </c>
    </row>
    <row r="58" spans="1:26" ht="25.8" hidden="1" customHeight="1">
      <c r="A58" s="80"/>
      <c r="B58" s="80"/>
      <c r="C58" s="94"/>
      <c r="D58" s="94"/>
      <c r="E58" s="94"/>
      <c r="F58" s="94"/>
      <c r="G58" s="94"/>
      <c r="H58" s="94"/>
      <c r="I58" s="94"/>
      <c r="J58" s="94"/>
      <c r="K58" s="94"/>
      <c r="L58" s="94"/>
      <c r="M58" s="94"/>
      <c r="N58" s="94"/>
      <c r="O58" s="95"/>
      <c r="P58" s="94"/>
      <c r="Q58" s="62" t="s">
        <v>513</v>
      </c>
      <c r="R58" s="349"/>
      <c r="S58" s="368">
        <f t="shared" ref="S58:Y58" si="12">S55/R55-1</f>
        <v>7.8715046432306313E-2</v>
      </c>
      <c r="T58" s="368">
        <f t="shared" si="12"/>
        <v>5.0469665307800282E-2</v>
      </c>
      <c r="U58" s="368">
        <f t="shared" si="12"/>
        <v>7.1558876685757333E-2</v>
      </c>
      <c r="V58" s="368">
        <f t="shared" si="12"/>
        <v>0.11069505176124572</v>
      </c>
      <c r="W58" s="368">
        <f t="shared" si="12"/>
        <v>-8.7737670923590194E-2</v>
      </c>
      <c r="X58" s="368">
        <f t="shared" si="12"/>
        <v>-1.0225333380589396E-2</v>
      </c>
      <c r="Y58" s="368">
        <f t="shared" si="12"/>
        <v>-1.2715554781396965E-2</v>
      </c>
      <c r="Z58" s="368">
        <f>Z55/Y55-1</f>
        <v>-9.1001133572178539E-2</v>
      </c>
    </row>
    <row r="59" spans="1:26" ht="25.8" hidden="1" customHeight="1">
      <c r="A59" s="83" t="s">
        <v>224</v>
      </c>
      <c r="B59" s="83"/>
      <c r="C59" s="95">
        <f t="shared" ref="C59:H59" si="13">SUM(C53/C40-1)</f>
        <v>0.11538169388530184</v>
      </c>
      <c r="D59" s="95">
        <f t="shared" si="13"/>
        <v>0.10711307283933036</v>
      </c>
      <c r="E59" s="95">
        <f t="shared" si="13"/>
        <v>0.21790526745610461</v>
      </c>
      <c r="F59" s="95">
        <f t="shared" si="13"/>
        <v>0.14889352818371604</v>
      </c>
      <c r="G59" s="95">
        <f t="shared" si="13"/>
        <v>0.24636505460218405</v>
      </c>
      <c r="H59" s="95">
        <f t="shared" si="13"/>
        <v>0.25171281878629737</v>
      </c>
      <c r="I59" s="95">
        <f t="shared" ref="I59:N59" si="14">SUM(I53/I40-1)</f>
        <v>0.1293537085758687</v>
      </c>
      <c r="J59" s="95">
        <f t="shared" si="14"/>
        <v>0.17784903101870153</v>
      </c>
      <c r="K59" s="95">
        <f t="shared" si="14"/>
        <v>0.12391612511275985</v>
      </c>
      <c r="L59" s="95">
        <f t="shared" si="14"/>
        <v>0.12592056690225761</v>
      </c>
      <c r="M59" s="95">
        <f t="shared" si="14"/>
        <v>2.3352909585433901E-2</v>
      </c>
      <c r="N59" s="95">
        <f t="shared" si="14"/>
        <v>4.2850628213797037E-2</v>
      </c>
      <c r="O59" s="95"/>
      <c r="P59" s="95">
        <f>(P53-(SUM(C40:N40)))/(SUM(C40:N40))</f>
        <v>0.14063699663763204</v>
      </c>
      <c r="Q59" s="252" t="s">
        <v>514</v>
      </c>
      <c r="R59" s="369"/>
      <c r="S59" s="370">
        <f t="shared" ref="S59:Y59" si="15">S53/R53-1</f>
        <v>2.1220022334150768E-2</v>
      </c>
      <c r="T59" s="370">
        <f t="shared" si="15"/>
        <v>3.3998358482227431E-2</v>
      </c>
      <c r="U59" s="370">
        <f t="shared" si="15"/>
        <v>5.6901236452449933E-2</v>
      </c>
      <c r="V59" s="370">
        <f t="shared" si="15"/>
        <v>-4.2277606387280953E-3</v>
      </c>
      <c r="W59" s="370">
        <f t="shared" si="15"/>
        <v>0.11712660896646709</v>
      </c>
      <c r="X59" s="370">
        <f t="shared" si="15"/>
        <v>0.12093560958585381</v>
      </c>
      <c r="Y59" s="370">
        <f t="shared" si="15"/>
        <v>0.10332723921707432</v>
      </c>
      <c r="Z59" s="370">
        <f>Z53/Y53-1</f>
        <v>2.0693008771369925E-2</v>
      </c>
    </row>
    <row r="60" spans="1:26" ht="25.8" hidden="1" customHeight="1">
      <c r="A60" s="83" t="s">
        <v>225</v>
      </c>
      <c r="B60" s="83"/>
      <c r="C60" s="95">
        <f t="shared" ref="C60:E61" si="16">SUM(C55/C42-1)</f>
        <v>0.25664314750611972</v>
      </c>
      <c r="D60" s="95">
        <f t="shared" si="16"/>
        <v>0.2091455570947951</v>
      </c>
      <c r="E60" s="95">
        <f t="shared" si="16"/>
        <v>0.16320191893720404</v>
      </c>
      <c r="F60" s="95">
        <f t="shared" ref="F60:H61" si="17">SUM(F55/F42-1)</f>
        <v>0.2155077626775741</v>
      </c>
      <c r="G60" s="95">
        <f t="shared" si="17"/>
        <v>0.15096233800474579</v>
      </c>
      <c r="H60" s="95">
        <f t="shared" si="17"/>
        <v>0.19922425210755357</v>
      </c>
      <c r="I60" s="95">
        <f>SUM(I55/I42-1)</f>
        <v>0.1141571594981281</v>
      </c>
      <c r="J60" s="95">
        <f t="shared" ref="J60:N61" si="18">SUM(J55/J42-1)</f>
        <v>9.7585547146170848E-2</v>
      </c>
      <c r="K60" s="95">
        <f t="shared" si="18"/>
        <v>1.6032673220306881E-2</v>
      </c>
      <c r="L60" s="95">
        <f t="shared" si="18"/>
        <v>0.13397324421214218</v>
      </c>
      <c r="M60" s="95">
        <f t="shared" si="18"/>
        <v>4.7121871859897579E-2</v>
      </c>
      <c r="N60" s="95">
        <f t="shared" si="18"/>
        <v>-0.14262096977224281</v>
      </c>
      <c r="O60" s="95"/>
      <c r="P60" s="95">
        <f>(P55-(SUM(C42:N42)))/(SUM(C42:N42))</f>
        <v>0.11285431469617949</v>
      </c>
      <c r="Q60" s="98"/>
      <c r="R60" s="98"/>
      <c r="S60" s="98"/>
      <c r="T60" s="98"/>
      <c r="U60" s="98"/>
      <c r="V60" s="98"/>
      <c r="W60" s="98"/>
      <c r="X60" s="98"/>
      <c r="Y60" s="98"/>
      <c r="Z60" s="98"/>
    </row>
    <row r="61" spans="1:26" ht="25.8" hidden="1" customHeight="1">
      <c r="A61" s="86" t="s">
        <v>151</v>
      </c>
      <c r="B61" s="86"/>
      <c r="C61" s="95">
        <f t="shared" si="16"/>
        <v>0.20460189868547163</v>
      </c>
      <c r="D61" s="95">
        <f t="shared" si="16"/>
        <v>0.17056249086615738</v>
      </c>
      <c r="E61" s="95">
        <f t="shared" si="16"/>
        <v>0.18148689041451127</v>
      </c>
      <c r="F61" s="95">
        <f t="shared" si="17"/>
        <v>0.19252707997234375</v>
      </c>
      <c r="G61" s="95">
        <f t="shared" si="17"/>
        <v>0.18222906966439201</v>
      </c>
      <c r="H61" s="95">
        <f t="shared" si="17"/>
        <v>0.21940092792110732</v>
      </c>
      <c r="I61" s="95">
        <f>SUM(I56/I43-1)</f>
        <v>0.12015649890213975</v>
      </c>
      <c r="J61" s="95">
        <f t="shared" si="18"/>
        <v>0.12766385415894721</v>
      </c>
      <c r="K61" s="95">
        <f t="shared" si="18"/>
        <v>5.2749304528708629E-2</v>
      </c>
      <c r="L61" s="95">
        <f t="shared" si="18"/>
        <v>0.13120544765936826</v>
      </c>
      <c r="M61" s="95">
        <f t="shared" si="18"/>
        <v>3.866402002243885E-2</v>
      </c>
      <c r="N61" s="95">
        <f t="shared" si="18"/>
        <v>-7.80826789964707E-2</v>
      </c>
      <c r="O61" s="95"/>
      <c r="P61" s="95">
        <f>(P56-(SUM(C43:N43)))/(SUM(C43:N43))</f>
        <v>0.12281829878077408</v>
      </c>
      <c r="Q61" s="98"/>
      <c r="R61" s="98"/>
      <c r="S61" s="98"/>
      <c r="T61" s="98"/>
      <c r="U61" s="98"/>
      <c r="V61" s="98"/>
      <c r="W61" s="98"/>
      <c r="X61" s="98"/>
      <c r="Y61" s="98"/>
      <c r="Z61" s="98"/>
    </row>
    <row r="62" spans="1:26" ht="25.8" hidden="1" customHeight="1">
      <c r="A62" s="96"/>
      <c r="B62" s="96"/>
      <c r="C62" s="97"/>
      <c r="D62" s="97"/>
      <c r="E62" s="97"/>
      <c r="F62" s="97"/>
      <c r="G62" s="97"/>
      <c r="H62" s="97"/>
      <c r="I62" s="97"/>
      <c r="J62" s="97"/>
      <c r="K62" s="97"/>
      <c r="L62" s="97"/>
      <c r="M62" s="97"/>
      <c r="N62" s="97"/>
      <c r="O62" s="97"/>
      <c r="P62" s="97"/>
      <c r="Q62" s="98"/>
      <c r="R62" s="98"/>
      <c r="S62" s="98"/>
      <c r="T62" s="98"/>
      <c r="U62" s="98"/>
      <c r="V62" s="98"/>
      <c r="W62" s="98"/>
      <c r="X62" s="98"/>
      <c r="Y62" s="98"/>
      <c r="Z62" s="98"/>
    </row>
    <row r="63" spans="1:26" ht="25.8" hidden="1" customHeight="1">
      <c r="A63" s="5443" t="s">
        <v>239</v>
      </c>
      <c r="B63" s="5444"/>
      <c r="C63" s="5444"/>
      <c r="D63" s="5444"/>
      <c r="E63" s="5444"/>
      <c r="F63" s="5444"/>
      <c r="G63" s="5444"/>
      <c r="H63" s="5444"/>
      <c r="I63" s="5444"/>
      <c r="J63" s="5444"/>
      <c r="K63" s="5444"/>
      <c r="L63" s="5444"/>
      <c r="M63" s="5444"/>
      <c r="N63" s="5444"/>
      <c r="O63" s="5444"/>
      <c r="P63" s="5445"/>
      <c r="Q63" s="98"/>
      <c r="R63" s="98"/>
      <c r="S63" s="98"/>
      <c r="T63" s="98"/>
      <c r="U63" s="98"/>
      <c r="V63" s="98"/>
      <c r="W63" s="98"/>
      <c r="X63" s="98"/>
      <c r="Y63" s="98"/>
      <c r="Z63" s="98"/>
    </row>
    <row r="64" spans="1:26" ht="25.8" hidden="1" customHeight="1">
      <c r="A64" s="62" t="s">
        <v>217</v>
      </c>
      <c r="B64" s="348"/>
      <c r="C64" s="63" t="s">
        <v>218</v>
      </c>
      <c r="D64" s="63" t="s">
        <v>207</v>
      </c>
      <c r="E64" s="63" t="s">
        <v>208</v>
      </c>
      <c r="F64" s="63" t="s">
        <v>219</v>
      </c>
      <c r="G64" s="63" t="s">
        <v>209</v>
      </c>
      <c r="H64" s="63" t="s">
        <v>210</v>
      </c>
      <c r="I64" s="63" t="s">
        <v>220</v>
      </c>
      <c r="J64" s="63" t="s">
        <v>221</v>
      </c>
      <c r="K64" s="63" t="s">
        <v>211</v>
      </c>
      <c r="L64" s="63" t="s">
        <v>212</v>
      </c>
      <c r="M64" s="63" t="s">
        <v>213</v>
      </c>
      <c r="N64" s="63" t="s">
        <v>222</v>
      </c>
      <c r="O64" s="63" t="s">
        <v>223</v>
      </c>
      <c r="P64" s="64" t="s">
        <v>151</v>
      </c>
      <c r="Q64" s="98"/>
      <c r="R64" s="98"/>
      <c r="S64" s="98"/>
      <c r="T64" s="98"/>
      <c r="U64" s="98"/>
      <c r="V64" s="98"/>
      <c r="W64" s="98"/>
      <c r="X64" s="98"/>
      <c r="Y64" s="98"/>
      <c r="Z64" s="98"/>
    </row>
    <row r="65" spans="1:26" ht="25.8" hidden="1" customHeight="1">
      <c r="A65" s="65" t="s">
        <v>224</v>
      </c>
      <c r="B65" s="349"/>
      <c r="C65" s="99">
        <f>60963+1506</f>
        <v>62469</v>
      </c>
      <c r="D65" s="99">
        <f>52111+2212</f>
        <v>54323</v>
      </c>
      <c r="E65" s="99">
        <f>58265+2821</f>
        <v>61086</v>
      </c>
      <c r="F65" s="99">
        <f>50081+2253</f>
        <v>52334</v>
      </c>
      <c r="G65" s="99">
        <f>57759+4862</f>
        <v>62621</v>
      </c>
      <c r="H65" s="99">
        <f>70940+4657</f>
        <v>75597</v>
      </c>
      <c r="I65" s="99">
        <f>74627+6868</f>
        <v>81495</v>
      </c>
      <c r="J65" s="99">
        <f>75332+9062</f>
        <v>84394</v>
      </c>
      <c r="K65" s="99">
        <f>56720+3932</f>
        <v>60652</v>
      </c>
      <c r="L65" s="99">
        <f>60295+2923</f>
        <v>63218</v>
      </c>
      <c r="M65" s="99">
        <f>62249+2515</f>
        <v>64764</v>
      </c>
      <c r="N65" s="99">
        <f>65696+3301</f>
        <v>68997</v>
      </c>
      <c r="O65" s="60">
        <f>AVERAGE(C65:N65)</f>
        <v>65995.833333333328</v>
      </c>
      <c r="P65" s="68">
        <f>SUM(C65:N65)</f>
        <v>791950</v>
      </c>
      <c r="Q65" s="98"/>
      <c r="R65" s="98"/>
      <c r="S65" s="98"/>
      <c r="T65" s="98"/>
      <c r="U65" s="98"/>
      <c r="V65" s="98"/>
      <c r="W65" s="98"/>
      <c r="X65" s="98"/>
      <c r="Y65" s="98"/>
      <c r="Z65" s="98"/>
    </row>
    <row r="66" spans="1:26" ht="25.8" hidden="1" customHeight="1">
      <c r="A66" s="65" t="s">
        <v>231</v>
      </c>
      <c r="B66" s="349"/>
      <c r="C66" s="99">
        <v>12366</v>
      </c>
      <c r="D66" s="99">
        <v>13067</v>
      </c>
      <c r="E66" s="99">
        <v>13789</v>
      </c>
      <c r="F66" s="99">
        <v>11616</v>
      </c>
      <c r="G66" s="99">
        <v>10699</v>
      </c>
      <c r="H66" s="99">
        <v>12242</v>
      </c>
      <c r="I66" s="99">
        <v>12596</v>
      </c>
      <c r="J66" s="99">
        <v>14710</v>
      </c>
      <c r="K66" s="99">
        <v>13090</v>
      </c>
      <c r="L66" s="99">
        <v>9802</v>
      </c>
      <c r="M66" s="99">
        <v>10529</v>
      </c>
      <c r="N66" s="99">
        <v>9281</v>
      </c>
      <c r="O66" s="60">
        <f>AVERAGE(C66:N66)</f>
        <v>11982.25</v>
      </c>
      <c r="P66" s="68">
        <f>SUM(C66:N66)</f>
        <v>143787</v>
      </c>
      <c r="Q66" s="98"/>
      <c r="R66" s="98"/>
      <c r="S66" s="98"/>
      <c r="T66" s="98"/>
      <c r="U66" s="98"/>
      <c r="V66" s="98"/>
      <c r="W66" s="98"/>
      <c r="X66" s="98"/>
      <c r="Y66" s="98"/>
      <c r="Z66" s="98"/>
    </row>
    <row r="67" spans="1:26" ht="25.8" hidden="1" customHeight="1" thickBot="1">
      <c r="A67" s="100" t="s">
        <v>240</v>
      </c>
      <c r="B67" s="351"/>
      <c r="C67" s="101">
        <f>111635+8007</f>
        <v>119642</v>
      </c>
      <c r="D67" s="101">
        <f>98500+5029</f>
        <v>103529</v>
      </c>
      <c r="E67" s="101">
        <f>118503+5143</f>
        <v>123646</v>
      </c>
      <c r="F67" s="101">
        <f>114125+4322</f>
        <v>118447</v>
      </c>
      <c r="G67" s="101">
        <f>118757+4892</f>
        <v>123649</v>
      </c>
      <c r="H67" s="101">
        <f>108111+2200</f>
        <v>110311</v>
      </c>
      <c r="I67" s="101">
        <v>135864</v>
      </c>
      <c r="J67" s="101">
        <v>140220</v>
      </c>
      <c r="K67" s="101">
        <v>114928</v>
      </c>
      <c r="L67" s="101">
        <v>126769</v>
      </c>
      <c r="M67" s="101">
        <v>121935</v>
      </c>
      <c r="N67" s="101">
        <v>120610</v>
      </c>
      <c r="O67" s="60">
        <f>AVERAGE(C67:N67)</f>
        <v>121629.16666666667</v>
      </c>
      <c r="P67" s="68">
        <f>SUM(C67:N67)</f>
        <v>1459550</v>
      </c>
      <c r="Q67" s="98"/>
      <c r="R67" s="98"/>
      <c r="S67" s="98"/>
      <c r="T67" s="98"/>
      <c r="U67" s="98"/>
      <c r="V67" s="98"/>
      <c r="W67" s="98"/>
      <c r="X67" s="98"/>
      <c r="Y67" s="98"/>
      <c r="Z67" s="98"/>
    </row>
    <row r="68" spans="1:26" ht="25.8" hidden="1" customHeight="1" thickBot="1">
      <c r="A68" s="69" t="s">
        <v>241</v>
      </c>
      <c r="B68" s="350"/>
      <c r="C68" s="77">
        <f>SUM(C65+C67)</f>
        <v>182111</v>
      </c>
      <c r="D68" s="77">
        <f>SUM(D65+D67)</f>
        <v>157852</v>
      </c>
      <c r="E68" s="77">
        <f t="shared" ref="E68:N68" si="19">SUM(E65+E67)</f>
        <v>184732</v>
      </c>
      <c r="F68" s="77">
        <f t="shared" si="19"/>
        <v>170781</v>
      </c>
      <c r="G68" s="77">
        <f t="shared" si="19"/>
        <v>186270</v>
      </c>
      <c r="H68" s="77">
        <f t="shared" si="19"/>
        <v>185908</v>
      </c>
      <c r="I68" s="77">
        <f t="shared" si="19"/>
        <v>217359</v>
      </c>
      <c r="J68" s="77">
        <f t="shared" si="19"/>
        <v>224614</v>
      </c>
      <c r="K68" s="77">
        <f t="shared" si="19"/>
        <v>175580</v>
      </c>
      <c r="L68" s="77">
        <f t="shared" si="19"/>
        <v>189987</v>
      </c>
      <c r="M68" s="77">
        <f t="shared" si="19"/>
        <v>186699</v>
      </c>
      <c r="N68" s="77">
        <f t="shared" si="19"/>
        <v>189607</v>
      </c>
      <c r="O68" s="77">
        <f>SUM(O65+O67)</f>
        <v>187625</v>
      </c>
      <c r="P68" s="93">
        <f>SUM(P65+P67)</f>
        <v>2251500</v>
      </c>
      <c r="Q68" s="98"/>
      <c r="R68" s="98"/>
      <c r="S68" s="98"/>
      <c r="T68" s="98"/>
      <c r="U68" s="98"/>
      <c r="V68" s="98"/>
      <c r="W68" s="98"/>
      <c r="X68" s="98"/>
      <c r="Y68" s="98"/>
      <c r="Z68" s="98"/>
    </row>
    <row r="69" spans="1:26" ht="25.8" hidden="1" customHeight="1">
      <c r="A69" s="96"/>
      <c r="B69" s="96"/>
      <c r="C69" s="97"/>
      <c r="D69" s="97"/>
      <c r="E69" s="97"/>
      <c r="F69" s="97"/>
      <c r="G69" s="97"/>
      <c r="H69" s="97"/>
      <c r="I69" s="97"/>
      <c r="J69" s="97"/>
      <c r="K69" s="97"/>
      <c r="L69" s="97"/>
      <c r="M69" s="97"/>
      <c r="N69" s="97"/>
      <c r="O69" s="97"/>
      <c r="P69" s="97"/>
      <c r="Q69" s="98"/>
      <c r="R69" s="98"/>
      <c r="S69" s="98"/>
      <c r="T69" s="98"/>
      <c r="U69" s="98"/>
      <c r="V69" s="98"/>
      <c r="W69" s="98"/>
      <c r="X69" s="98"/>
      <c r="Y69" s="98"/>
      <c r="Z69" s="98"/>
    </row>
    <row r="70" spans="1:26" ht="25.8" hidden="1" customHeight="1">
      <c r="A70" s="102" t="s">
        <v>242</v>
      </c>
      <c r="B70" s="102"/>
      <c r="C70" s="103"/>
      <c r="D70" s="103"/>
      <c r="E70" s="103"/>
      <c r="F70" s="103"/>
      <c r="G70" s="103"/>
      <c r="H70" s="103"/>
      <c r="I70" s="103"/>
      <c r="J70" s="103"/>
      <c r="K70" s="103"/>
      <c r="L70" s="103"/>
      <c r="M70" s="103"/>
      <c r="N70" s="103"/>
      <c r="O70" s="104"/>
      <c r="P70" s="103"/>
      <c r="Q70" s="98"/>
      <c r="R70" s="98"/>
      <c r="S70" s="98"/>
      <c r="T70" s="98"/>
      <c r="U70" s="98"/>
      <c r="V70" s="98"/>
      <c r="W70" s="98"/>
      <c r="X70" s="98"/>
      <c r="Y70" s="98"/>
      <c r="Z70" s="98"/>
    </row>
    <row r="71" spans="1:26" ht="25.8" hidden="1" customHeight="1">
      <c r="A71" s="105" t="s">
        <v>224</v>
      </c>
      <c r="B71" s="105"/>
      <c r="C71" s="104">
        <f t="shared" ref="C71:H71" si="20">SUM(C65/C53-1)</f>
        <v>6.3555570689185492E-2</v>
      </c>
      <c r="D71" s="104">
        <f t="shared" si="20"/>
        <v>-1.9474912271032485E-3</v>
      </c>
      <c r="E71" s="104">
        <f t="shared" si="20"/>
        <v>2.4022262082376455E-2</v>
      </c>
      <c r="F71" s="104">
        <f t="shared" si="20"/>
        <v>-4.9026021224015115E-2</v>
      </c>
      <c r="G71" s="104">
        <f t="shared" si="20"/>
        <v>4.5094210517532041E-2</v>
      </c>
      <c r="H71" s="104">
        <f t="shared" si="20"/>
        <v>1.6662632131041688E-2</v>
      </c>
      <c r="I71" s="104">
        <f t="shared" ref="I71:N71" si="21">SUM(I65/I53-1)</f>
        <v>-1.6307365473287816E-2</v>
      </c>
      <c r="J71" s="104">
        <f t="shared" si="21"/>
        <v>1.2076222912444479E-2</v>
      </c>
      <c r="K71" s="104">
        <f t="shared" si="21"/>
        <v>-6.5192465192465132E-3</v>
      </c>
      <c r="L71" s="104">
        <f t="shared" si="21"/>
        <v>4.1568498228849116E-2</v>
      </c>
      <c r="M71" s="104">
        <f t="shared" si="21"/>
        <v>9.637554806927251E-2</v>
      </c>
      <c r="N71" s="104">
        <f t="shared" si="21"/>
        <v>4.039627250520228E-2</v>
      </c>
      <c r="O71" s="104"/>
      <c r="P71" s="104">
        <f>(P65-(SUM(C53:N53)))/(SUM(C53:N53))</f>
        <v>2.1220022334150875E-2</v>
      </c>
      <c r="Q71" s="98"/>
      <c r="R71" s="98"/>
      <c r="S71" s="98"/>
      <c r="T71" s="98"/>
      <c r="U71" s="98"/>
      <c r="V71" s="98"/>
      <c r="W71" s="98"/>
      <c r="X71" s="98"/>
      <c r="Y71" s="98"/>
      <c r="Z71" s="98"/>
    </row>
    <row r="72" spans="1:26" ht="25.8" hidden="1" customHeight="1">
      <c r="A72" s="105" t="s">
        <v>225</v>
      </c>
      <c r="B72" s="105"/>
      <c r="C72" s="104">
        <f t="shared" ref="C72:H73" si="22">SUM(C67/C55-1)</f>
        <v>5.456981428105534E-2</v>
      </c>
      <c r="D72" s="104">
        <f t="shared" si="22"/>
        <v>5.9044365109403918E-2</v>
      </c>
      <c r="E72" s="104">
        <f t="shared" si="22"/>
        <v>8.9632077550121148E-2</v>
      </c>
      <c r="F72" s="104">
        <f t="shared" si="22"/>
        <v>7.1453124434634807E-2</v>
      </c>
      <c r="G72" s="104">
        <f t="shared" si="22"/>
        <v>8.9408903886309288E-2</v>
      </c>
      <c r="H72" s="104">
        <f t="shared" si="22"/>
        <v>-3.309754836221479E-2</v>
      </c>
      <c r="I72" s="104">
        <f>SUM(I67/I55-1)</f>
        <v>8.4335618570277049E-2</v>
      </c>
      <c r="J72" s="104">
        <f t="shared" ref="J72:N73" si="23">SUM(J67/J55-1)</f>
        <v>8.1535530547863777E-2</v>
      </c>
      <c r="K72" s="104">
        <f t="shared" si="23"/>
        <v>7.4364559281314024E-2</v>
      </c>
      <c r="L72" s="104">
        <f t="shared" si="23"/>
        <v>8.6085622981297183E-2</v>
      </c>
      <c r="M72" s="104">
        <f t="shared" si="23"/>
        <v>0.11438598415266088</v>
      </c>
      <c r="N72" s="104">
        <f t="shared" si="23"/>
        <v>0.18051817122945768</v>
      </c>
      <c r="O72" s="104"/>
      <c r="P72" s="104">
        <f>(P67-(SUM(C55:N55)))/(SUM(C55:N55))</f>
        <v>7.8715046432306396E-2</v>
      </c>
      <c r="Q72" s="98"/>
      <c r="R72" s="98"/>
      <c r="S72" s="98"/>
      <c r="T72" s="98"/>
      <c r="U72" s="98"/>
      <c r="V72" s="98"/>
      <c r="W72" s="98"/>
      <c r="X72" s="98"/>
      <c r="Y72" s="98"/>
      <c r="Z72" s="98"/>
    </row>
    <row r="73" spans="1:26" ht="25.8" hidden="1" customHeight="1">
      <c r="A73" s="106" t="s">
        <v>151</v>
      </c>
      <c r="B73" s="106"/>
      <c r="C73" s="104">
        <f t="shared" si="22"/>
        <v>5.7635013096226873E-2</v>
      </c>
      <c r="D73" s="104">
        <f t="shared" si="22"/>
        <v>3.7230757099864675E-2</v>
      </c>
      <c r="E73" s="104">
        <f t="shared" si="22"/>
        <v>6.7025553347812128E-2</v>
      </c>
      <c r="F73" s="104">
        <f t="shared" si="22"/>
        <v>3.1410798405604456E-2</v>
      </c>
      <c r="G73" s="104">
        <f t="shared" si="22"/>
        <v>7.4097566601314835E-2</v>
      </c>
      <c r="H73" s="104">
        <f t="shared" si="22"/>
        <v>-1.3462814083684882E-2</v>
      </c>
      <c r="I73" s="104">
        <f>SUM(I68/I56-1)</f>
        <v>4.4277251697150577E-2</v>
      </c>
      <c r="J73" s="104">
        <f t="shared" si="23"/>
        <v>5.4347621998160012E-2</v>
      </c>
      <c r="K73" s="104">
        <f t="shared" si="23"/>
        <v>4.4975985430566023E-2</v>
      </c>
      <c r="L73" s="104">
        <f t="shared" si="23"/>
        <v>7.0856067096541464E-2</v>
      </c>
      <c r="M73" s="104">
        <f t="shared" si="23"/>
        <v>0.10807169564959351</v>
      </c>
      <c r="N73" s="104">
        <f t="shared" si="23"/>
        <v>0.12536427575155051</v>
      </c>
      <c r="O73" s="104"/>
      <c r="P73" s="104">
        <f>(P68-(SUM(C56:N56)))/(SUM(C56:N56))</f>
        <v>5.7767792838186192E-2</v>
      </c>
      <c r="Q73" s="98"/>
      <c r="R73" s="98"/>
      <c r="S73" s="98"/>
      <c r="T73" s="98"/>
      <c r="U73" s="98"/>
      <c r="V73" s="98"/>
      <c r="W73" s="98"/>
      <c r="X73" s="98"/>
      <c r="Y73" s="98"/>
      <c r="Z73" s="98"/>
    </row>
    <row r="74" spans="1:26" ht="25.8" hidden="1" customHeight="1">
      <c r="A74" s="96"/>
      <c r="B74" s="96"/>
      <c r="C74" s="107"/>
      <c r="D74" s="107"/>
      <c r="E74" s="107"/>
      <c r="F74" s="107"/>
      <c r="G74" s="107"/>
      <c r="H74" s="107"/>
      <c r="I74" s="107"/>
      <c r="J74" s="107"/>
      <c r="K74" s="107"/>
      <c r="L74" s="107"/>
      <c r="M74" s="107"/>
      <c r="N74" s="107"/>
      <c r="O74" s="97"/>
      <c r="P74" s="97"/>
      <c r="Q74" s="98"/>
      <c r="R74" s="98"/>
      <c r="S74" s="98"/>
      <c r="T74" s="98"/>
      <c r="U74" s="98"/>
      <c r="V74" s="98"/>
      <c r="W74" s="98"/>
      <c r="X74" s="98"/>
      <c r="Y74" s="98"/>
      <c r="Z74" s="98"/>
    </row>
    <row r="75" spans="1:26" ht="25.8" hidden="1" customHeight="1">
      <c r="A75" s="56"/>
      <c r="B75" s="56"/>
      <c r="C75" s="56"/>
      <c r="D75" s="56"/>
      <c r="E75" s="56"/>
      <c r="F75" s="56"/>
      <c r="G75" s="108"/>
      <c r="H75" s="56"/>
      <c r="I75" s="109"/>
      <c r="J75" s="108"/>
      <c r="K75" s="56"/>
      <c r="L75" s="56"/>
      <c r="M75" s="56"/>
      <c r="N75" s="56"/>
      <c r="O75" s="56"/>
      <c r="P75" s="56"/>
      <c r="Q75" s="98"/>
      <c r="R75" s="98"/>
      <c r="S75" s="98"/>
      <c r="T75" s="98"/>
      <c r="U75" s="98"/>
      <c r="V75" s="98"/>
      <c r="W75" s="98"/>
      <c r="X75" s="98"/>
      <c r="Y75" s="98"/>
      <c r="Z75" s="98"/>
    </row>
    <row r="76" spans="1:26" ht="25.8" hidden="1" customHeight="1">
      <c r="A76" s="5443" t="s">
        <v>243</v>
      </c>
      <c r="B76" s="5444"/>
      <c r="C76" s="5444"/>
      <c r="D76" s="5444"/>
      <c r="E76" s="5444"/>
      <c r="F76" s="5444"/>
      <c r="G76" s="5444"/>
      <c r="H76" s="5444"/>
      <c r="I76" s="5444"/>
      <c r="J76" s="5444"/>
      <c r="K76" s="5444"/>
      <c r="L76" s="5444"/>
      <c r="M76" s="5444"/>
      <c r="N76" s="5444"/>
      <c r="O76" s="5444"/>
      <c r="P76" s="5445"/>
      <c r="Q76" s="98"/>
      <c r="R76" s="98"/>
      <c r="S76" s="98"/>
      <c r="T76" s="98"/>
      <c r="U76" s="98"/>
      <c r="V76" s="98"/>
      <c r="W76" s="98"/>
      <c r="X76" s="98"/>
      <c r="Y76" s="98"/>
      <c r="Z76" s="98"/>
    </row>
    <row r="77" spans="1:26" ht="25.8" hidden="1" customHeight="1">
      <c r="A77" s="62" t="s">
        <v>217</v>
      </c>
      <c r="B77" s="348"/>
      <c r="C77" s="63" t="s">
        <v>218</v>
      </c>
      <c r="D77" s="63" t="s">
        <v>207</v>
      </c>
      <c r="E77" s="63" t="s">
        <v>208</v>
      </c>
      <c r="F77" s="63" t="s">
        <v>219</v>
      </c>
      <c r="G77" s="63" t="s">
        <v>209</v>
      </c>
      <c r="H77" s="63" t="s">
        <v>210</v>
      </c>
      <c r="I77" s="63" t="s">
        <v>220</v>
      </c>
      <c r="J77" s="63" t="s">
        <v>221</v>
      </c>
      <c r="K77" s="63" t="s">
        <v>211</v>
      </c>
      <c r="L77" s="63" t="s">
        <v>212</v>
      </c>
      <c r="M77" s="63" t="s">
        <v>213</v>
      </c>
      <c r="N77" s="63" t="s">
        <v>222</v>
      </c>
      <c r="O77" s="63" t="s">
        <v>223</v>
      </c>
      <c r="P77" s="64" t="s">
        <v>151</v>
      </c>
      <c r="Q77" s="98"/>
      <c r="R77" s="98"/>
      <c r="S77" s="98"/>
      <c r="T77" s="98"/>
      <c r="U77" s="98"/>
      <c r="V77" s="98"/>
      <c r="W77" s="98"/>
      <c r="X77" s="98"/>
      <c r="Y77" s="98"/>
      <c r="Z77" s="98"/>
    </row>
    <row r="78" spans="1:26" ht="25.8" hidden="1" customHeight="1">
      <c r="A78" s="65" t="s">
        <v>224</v>
      </c>
      <c r="B78" s="349"/>
      <c r="C78" s="99">
        <v>61667</v>
      </c>
      <c r="D78" s="99">
        <v>57923</v>
      </c>
      <c r="E78" s="99">
        <v>56039</v>
      </c>
      <c r="F78" s="99">
        <v>61932</v>
      </c>
      <c r="G78" s="99">
        <v>61906</v>
      </c>
      <c r="H78" s="99">
        <v>76440</v>
      </c>
      <c r="I78" s="99">
        <v>82609</v>
      </c>
      <c r="J78" s="99">
        <v>84240</v>
      </c>
      <c r="K78" s="99">
        <v>64530</v>
      </c>
      <c r="L78" s="99">
        <v>65378</v>
      </c>
      <c r="M78" s="99">
        <v>70283</v>
      </c>
      <c r="N78" s="99">
        <v>75928</v>
      </c>
      <c r="O78" s="60">
        <f>AVERAGE(C78:N78)</f>
        <v>68239.583333333328</v>
      </c>
      <c r="P78" s="68">
        <f>SUM(C78:N78)</f>
        <v>818875</v>
      </c>
      <c r="Q78" s="98"/>
      <c r="R78" s="98"/>
      <c r="S78" s="98"/>
      <c r="T78" s="98"/>
      <c r="U78" s="98"/>
      <c r="V78" s="98"/>
      <c r="W78" s="98"/>
      <c r="X78" s="98"/>
      <c r="Y78" s="98"/>
      <c r="Z78" s="98"/>
    </row>
    <row r="79" spans="1:26" ht="25.8" hidden="1" customHeight="1">
      <c r="A79" s="65" t="s">
        <v>231</v>
      </c>
      <c r="B79" s="349"/>
      <c r="C79" s="99">
        <v>9299</v>
      </c>
      <c r="D79" s="99">
        <v>8798</v>
      </c>
      <c r="E79" s="99">
        <v>9808</v>
      </c>
      <c r="F79" s="99">
        <v>9281</v>
      </c>
      <c r="G79" s="99">
        <v>8655</v>
      </c>
      <c r="H79" s="99">
        <v>11318</v>
      </c>
      <c r="I79" s="99">
        <v>11743</v>
      </c>
      <c r="J79" s="99">
        <v>11783</v>
      </c>
      <c r="K79" s="99">
        <v>9136</v>
      </c>
      <c r="L79" s="99">
        <v>8645</v>
      </c>
      <c r="M79" s="99">
        <v>9335</v>
      </c>
      <c r="N79" s="99">
        <v>7867</v>
      </c>
      <c r="O79" s="60">
        <f>AVERAGE(C79:N79)</f>
        <v>9639</v>
      </c>
      <c r="P79" s="68">
        <f>SUM(C79:N79)</f>
        <v>115668</v>
      </c>
      <c r="Q79" s="98"/>
      <c r="R79" s="98"/>
      <c r="S79" s="98"/>
      <c r="T79" s="98"/>
      <c r="U79" s="98"/>
      <c r="V79" s="98"/>
      <c r="W79" s="98"/>
      <c r="X79" s="98"/>
      <c r="Y79" s="98"/>
      <c r="Z79" s="98"/>
    </row>
    <row r="80" spans="1:26" ht="25.8" hidden="1" customHeight="1" thickBot="1">
      <c r="A80" s="100" t="s">
        <v>240</v>
      </c>
      <c r="B80" s="351"/>
      <c r="C80" s="101">
        <v>120475</v>
      </c>
      <c r="D80" s="101">
        <v>113239</v>
      </c>
      <c r="E80" s="101">
        <v>124746</v>
      </c>
      <c r="F80" s="101">
        <v>128488</v>
      </c>
      <c r="G80" s="101">
        <v>124971</v>
      </c>
      <c r="H80" s="101">
        <v>122153</v>
      </c>
      <c r="I80" s="101">
        <v>140710</v>
      </c>
      <c r="J80" s="101">
        <v>144489</v>
      </c>
      <c r="K80" s="101">
        <v>126553</v>
      </c>
      <c r="L80" s="101">
        <v>132533</v>
      </c>
      <c r="M80" s="101">
        <v>125655</v>
      </c>
      <c r="N80" s="101">
        <v>129201</v>
      </c>
      <c r="O80" s="60">
        <f>AVERAGE(C80:N80)</f>
        <v>127767.75</v>
      </c>
      <c r="P80" s="68">
        <f>SUM(C80:N80)</f>
        <v>1533213</v>
      </c>
      <c r="Q80" s="98"/>
      <c r="R80" s="98"/>
      <c r="S80" s="98"/>
      <c r="T80" s="98"/>
      <c r="U80" s="98"/>
      <c r="V80" s="98"/>
      <c r="W80" s="98"/>
      <c r="X80" s="98"/>
      <c r="Y80" s="98"/>
      <c r="Z80" s="98"/>
    </row>
    <row r="81" spans="1:26" ht="25.8" hidden="1" customHeight="1" thickBot="1">
      <c r="A81" s="69" t="s">
        <v>244</v>
      </c>
      <c r="B81" s="350"/>
      <c r="C81" s="77">
        <f t="shared" ref="C81:N81" si="24">SUM(C78+C80)</f>
        <v>182142</v>
      </c>
      <c r="D81" s="77">
        <f t="shared" si="24"/>
        <v>171162</v>
      </c>
      <c r="E81" s="77">
        <f t="shared" si="24"/>
        <v>180785</v>
      </c>
      <c r="F81" s="77">
        <f t="shared" si="24"/>
        <v>190420</v>
      </c>
      <c r="G81" s="77">
        <f t="shared" si="24"/>
        <v>186877</v>
      </c>
      <c r="H81" s="77">
        <f t="shared" si="24"/>
        <v>198593</v>
      </c>
      <c r="I81" s="77">
        <f t="shared" si="24"/>
        <v>223319</v>
      </c>
      <c r="J81" s="77">
        <f t="shared" si="24"/>
        <v>228729</v>
      </c>
      <c r="K81" s="77">
        <f t="shared" si="24"/>
        <v>191083</v>
      </c>
      <c r="L81" s="77">
        <f t="shared" si="24"/>
        <v>197911</v>
      </c>
      <c r="M81" s="77">
        <f t="shared" si="24"/>
        <v>195938</v>
      </c>
      <c r="N81" s="77">
        <f t="shared" si="24"/>
        <v>205129</v>
      </c>
      <c r="O81" s="77">
        <f>SUM(O78+O80)</f>
        <v>196007.33333333331</v>
      </c>
      <c r="P81" s="93">
        <f>SUM(P78+P80)</f>
        <v>2352088</v>
      </c>
      <c r="Q81" s="98"/>
      <c r="R81" s="98"/>
      <c r="S81" s="98"/>
      <c r="T81" s="98"/>
      <c r="U81" s="98"/>
      <c r="V81" s="98"/>
      <c r="W81" s="98"/>
      <c r="X81" s="98"/>
      <c r="Y81" s="98"/>
      <c r="Z81" s="98"/>
    </row>
    <row r="82" spans="1:26" ht="25.8" hidden="1" customHeight="1">
      <c r="A82" s="96"/>
      <c r="B82" s="96"/>
      <c r="C82" s="97"/>
      <c r="D82" s="97"/>
      <c r="E82" s="97"/>
      <c r="F82" s="97"/>
      <c r="G82" s="97"/>
      <c r="H82" s="97"/>
      <c r="I82" s="97"/>
      <c r="J82" s="97"/>
      <c r="K82" s="97"/>
      <c r="L82" s="97"/>
      <c r="M82" s="97"/>
      <c r="N82" s="97"/>
      <c r="O82" s="97"/>
      <c r="P82" s="97"/>
      <c r="Q82" s="98"/>
      <c r="R82" s="98"/>
      <c r="S82" s="98"/>
      <c r="T82" s="98"/>
      <c r="U82" s="98"/>
      <c r="V82" s="98"/>
      <c r="W82" s="98"/>
      <c r="X82" s="98"/>
      <c r="Y82" s="98"/>
      <c r="Z82" s="98"/>
    </row>
    <row r="83" spans="1:26" ht="25.8" hidden="1" customHeight="1">
      <c r="A83" s="102" t="s">
        <v>245</v>
      </c>
      <c r="B83" s="102"/>
      <c r="C83" s="103"/>
      <c r="D83" s="103"/>
      <c r="E83" s="103"/>
      <c r="F83" s="103"/>
      <c r="G83" s="103"/>
      <c r="H83" s="103"/>
      <c r="I83" s="103"/>
      <c r="J83" s="103"/>
      <c r="K83" s="103"/>
      <c r="L83" s="103"/>
      <c r="M83" s="103"/>
      <c r="N83" s="103"/>
      <c r="O83" s="104"/>
      <c r="P83" s="103"/>
      <c r="Q83" s="98"/>
      <c r="R83" s="98"/>
      <c r="S83" s="98"/>
      <c r="T83" s="98"/>
      <c r="U83" s="98"/>
      <c r="V83" s="98"/>
      <c r="W83" s="98"/>
      <c r="X83" s="98"/>
      <c r="Y83" s="98"/>
      <c r="Z83" s="98"/>
    </row>
    <row r="84" spans="1:26" ht="25.8" hidden="1" customHeight="1">
      <c r="A84" s="105" t="s">
        <v>224</v>
      </c>
      <c r="B84" s="105"/>
      <c r="C84" s="104">
        <f t="shared" ref="C84:N84" si="25">SUM(C78/C65-1)</f>
        <v>-1.2838367830443898E-2</v>
      </c>
      <c r="D84" s="104">
        <f t="shared" si="25"/>
        <v>6.6270272260368523E-2</v>
      </c>
      <c r="E84" s="104">
        <f>SUM(E78/E65-1)</f>
        <v>-8.2621222538715955E-2</v>
      </c>
      <c r="F84" s="104">
        <f>SUM(F78/F65-1)</f>
        <v>0.18339893759315173</v>
      </c>
      <c r="G84" s="104">
        <f t="shared" si="25"/>
        <v>-1.1417894955366381E-2</v>
      </c>
      <c r="H84" s="104">
        <f t="shared" si="25"/>
        <v>1.1151236160165112E-2</v>
      </c>
      <c r="I84" s="104">
        <f t="shared" si="25"/>
        <v>1.3669550279158171E-2</v>
      </c>
      <c r="J84" s="104">
        <f t="shared" si="25"/>
        <v>-1.8247742730526095E-3</v>
      </c>
      <c r="K84" s="104">
        <f t="shared" si="25"/>
        <v>6.3938534590780138E-2</v>
      </c>
      <c r="L84" s="104">
        <f t="shared" si="25"/>
        <v>3.4167483944446131E-2</v>
      </c>
      <c r="M84" s="104">
        <f t="shared" si="25"/>
        <v>8.5217095917484942E-2</v>
      </c>
      <c r="N84" s="104">
        <f t="shared" si="25"/>
        <v>0.10045364291201064</v>
      </c>
      <c r="O84" s="104"/>
      <c r="P84" s="104">
        <f>(P78-(SUM(C65:N65)))/(SUM(C65:N65))</f>
        <v>3.399835848222741E-2</v>
      </c>
      <c r="Q84" s="98"/>
      <c r="R84" s="98"/>
      <c r="S84" s="98"/>
      <c r="T84" s="98"/>
      <c r="U84" s="98"/>
      <c r="V84" s="98"/>
      <c r="W84" s="98"/>
      <c r="X84" s="98"/>
      <c r="Y84" s="98"/>
      <c r="Z84" s="98"/>
    </row>
    <row r="85" spans="1:26" ht="25.8" hidden="1" customHeight="1">
      <c r="A85" s="105" t="s">
        <v>225</v>
      </c>
      <c r="B85" s="105"/>
      <c r="C85" s="104">
        <f t="shared" ref="C85:H86" si="26">SUM(C80/C67-1)</f>
        <v>6.9624379398538494E-3</v>
      </c>
      <c r="D85" s="104">
        <f t="shared" si="26"/>
        <v>9.3790145756261545E-2</v>
      </c>
      <c r="E85" s="104">
        <f t="shared" si="26"/>
        <v>8.8963654303415574E-3</v>
      </c>
      <c r="F85" s="104">
        <f t="shared" si="26"/>
        <v>8.4772092159362433E-2</v>
      </c>
      <c r="G85" s="104">
        <f t="shared" si="26"/>
        <v>1.0691554319080643E-2</v>
      </c>
      <c r="H85" s="104">
        <f t="shared" si="26"/>
        <v>0.10735103480160646</v>
      </c>
      <c r="I85" s="104">
        <f>SUM(I80/I67-1)</f>
        <v>3.5668020962138502E-2</v>
      </c>
      <c r="J85" s="104">
        <f t="shared" ref="J85:M86" si="27">SUM(J80/J67-1)</f>
        <v>3.0445014976465457E-2</v>
      </c>
      <c r="K85" s="104">
        <f t="shared" si="27"/>
        <v>0.10115028539607396</v>
      </c>
      <c r="L85" s="104">
        <f t="shared" si="27"/>
        <v>4.546852937232293E-2</v>
      </c>
      <c r="M85" s="104">
        <f t="shared" si="27"/>
        <v>3.0508057571656977E-2</v>
      </c>
      <c r="N85" s="104">
        <f>SUM(N80/N67-1)</f>
        <v>7.1229582953320714E-2</v>
      </c>
      <c r="O85" s="104"/>
      <c r="P85" s="104">
        <f>(P80-(SUM(C67:N67)))/(SUM(C67:N67))</f>
        <v>5.0469665307800352E-2</v>
      </c>
      <c r="Q85" s="98"/>
      <c r="R85" s="98"/>
      <c r="S85" s="98"/>
      <c r="T85" s="98"/>
      <c r="U85" s="98"/>
      <c r="V85" s="98"/>
      <c r="W85" s="98"/>
      <c r="X85" s="98"/>
      <c r="Y85" s="98"/>
      <c r="Z85" s="98"/>
    </row>
    <row r="86" spans="1:26" ht="25.8" hidden="1" customHeight="1">
      <c r="A86" s="106" t="s">
        <v>151</v>
      </c>
      <c r="B86" s="106"/>
      <c r="C86" s="104">
        <f t="shared" si="26"/>
        <v>1.7022585126658107E-4</v>
      </c>
      <c r="D86" s="104">
        <f t="shared" si="26"/>
        <v>8.4319489141727599E-2</v>
      </c>
      <c r="E86" s="104">
        <f t="shared" si="26"/>
        <v>-2.136608708832255E-2</v>
      </c>
      <c r="F86" s="104">
        <f t="shared" si="26"/>
        <v>0.11499522780637195</v>
      </c>
      <c r="G86" s="104">
        <f t="shared" si="26"/>
        <v>3.2587104740431361E-3</v>
      </c>
      <c r="H86" s="104">
        <f t="shared" si="26"/>
        <v>6.8232674225961132E-2</v>
      </c>
      <c r="I86" s="104">
        <f>SUM(I81/I68-1)</f>
        <v>2.7420074623089041E-2</v>
      </c>
      <c r="J86" s="104">
        <f t="shared" si="27"/>
        <v>1.8320318412921699E-2</v>
      </c>
      <c r="K86" s="104">
        <f t="shared" si="27"/>
        <v>8.8295933477616995E-2</v>
      </c>
      <c r="L86" s="104">
        <f t="shared" si="27"/>
        <v>4.1708116871154388E-2</v>
      </c>
      <c r="M86" s="104">
        <f t="shared" si="27"/>
        <v>4.9486071162673673E-2</v>
      </c>
      <c r="N86" s="104">
        <f>SUM(N81/N68-1)</f>
        <v>8.1864066200087571E-2</v>
      </c>
      <c r="O86" s="104"/>
      <c r="P86" s="104">
        <f>(P81-(SUM(C68:N68)))/(SUM(C68:N68))</f>
        <v>4.4675993781923162E-2</v>
      </c>
      <c r="Q86" s="98"/>
      <c r="R86" s="98"/>
      <c r="S86" s="98"/>
      <c r="T86" s="98"/>
      <c r="U86" s="98"/>
      <c r="V86" s="98"/>
      <c r="W86" s="98"/>
      <c r="X86" s="98"/>
      <c r="Y86" s="98"/>
      <c r="Z86" s="98"/>
    </row>
    <row r="87" spans="1:26" ht="25.8" hidden="1" customHeight="1">
      <c r="A87" s="56"/>
      <c r="B87" s="56"/>
      <c r="C87" s="56"/>
      <c r="D87" s="56"/>
      <c r="E87" s="56"/>
      <c r="F87" s="56"/>
      <c r="G87" s="56"/>
      <c r="H87" s="56"/>
      <c r="I87" s="56"/>
      <c r="J87" s="56"/>
      <c r="K87" s="56"/>
      <c r="L87" s="56"/>
      <c r="M87" s="56"/>
      <c r="N87" s="56"/>
      <c r="O87" s="56"/>
      <c r="P87" s="56"/>
      <c r="Q87" s="98"/>
      <c r="R87" s="98"/>
      <c r="S87" s="98"/>
      <c r="T87" s="98"/>
      <c r="U87" s="98"/>
      <c r="V87" s="98"/>
      <c r="W87" s="98"/>
      <c r="X87" s="98"/>
      <c r="Y87" s="98"/>
      <c r="Z87" s="98"/>
    </row>
    <row r="88" spans="1:26" ht="25.8" hidden="1" customHeight="1">
      <c r="A88" s="56"/>
      <c r="B88" s="56"/>
      <c r="C88" s="56"/>
      <c r="D88" s="56"/>
      <c r="E88" s="56"/>
      <c r="F88" s="56"/>
      <c r="G88" s="56"/>
      <c r="H88" s="56"/>
      <c r="I88" s="56"/>
      <c r="J88" s="56"/>
      <c r="K88" s="56"/>
      <c r="L88" s="56"/>
      <c r="M88" s="56"/>
      <c r="N88" s="56"/>
      <c r="O88" s="56"/>
      <c r="P88" s="56"/>
      <c r="Q88" s="98"/>
      <c r="R88" s="98"/>
      <c r="S88" s="98"/>
      <c r="T88" s="98"/>
      <c r="U88" s="98"/>
      <c r="V88" s="98"/>
      <c r="W88" s="98"/>
      <c r="X88" s="98"/>
      <c r="Y88" s="98"/>
      <c r="Z88" s="98"/>
    </row>
    <row r="89" spans="1:26" ht="25.8" hidden="1" customHeight="1">
      <c r="A89" s="5443" t="s">
        <v>246</v>
      </c>
      <c r="B89" s="5444"/>
      <c r="C89" s="5444"/>
      <c r="D89" s="5444"/>
      <c r="E89" s="5444"/>
      <c r="F89" s="5444"/>
      <c r="G89" s="5444"/>
      <c r="H89" s="5444"/>
      <c r="I89" s="5444"/>
      <c r="J89" s="5444"/>
      <c r="K89" s="5444"/>
      <c r="L89" s="5444"/>
      <c r="M89" s="5444"/>
      <c r="N89" s="5444"/>
      <c r="O89" s="5444"/>
      <c r="P89" s="5445"/>
      <c r="Q89" s="98"/>
      <c r="R89" s="98"/>
      <c r="S89" s="98"/>
      <c r="T89" s="98"/>
      <c r="U89" s="98"/>
      <c r="V89" s="98"/>
      <c r="W89" s="98"/>
      <c r="X89" s="98"/>
      <c r="Y89" s="98"/>
      <c r="Z89" s="98"/>
    </row>
    <row r="90" spans="1:26" ht="25.8" hidden="1" customHeight="1">
      <c r="A90" s="62" t="s">
        <v>217</v>
      </c>
      <c r="B90" s="348"/>
      <c r="C90" s="63" t="s">
        <v>218</v>
      </c>
      <c r="D90" s="63" t="s">
        <v>207</v>
      </c>
      <c r="E90" s="63" t="s">
        <v>208</v>
      </c>
      <c r="F90" s="63" t="s">
        <v>219</v>
      </c>
      <c r="G90" s="63" t="s">
        <v>209</v>
      </c>
      <c r="H90" s="63" t="s">
        <v>210</v>
      </c>
      <c r="I90" s="63" t="s">
        <v>220</v>
      </c>
      <c r="J90" s="63" t="s">
        <v>221</v>
      </c>
      <c r="K90" s="63" t="s">
        <v>211</v>
      </c>
      <c r="L90" s="63" t="s">
        <v>212</v>
      </c>
      <c r="M90" s="63" t="s">
        <v>213</v>
      </c>
      <c r="N90" s="63" t="s">
        <v>222</v>
      </c>
      <c r="O90" s="63" t="s">
        <v>223</v>
      </c>
      <c r="P90" s="64" t="s">
        <v>151</v>
      </c>
      <c r="Q90" s="98"/>
      <c r="R90" s="98"/>
      <c r="S90" s="98"/>
      <c r="T90" s="98"/>
      <c r="U90" s="98"/>
      <c r="V90" s="98"/>
      <c r="W90" s="98"/>
      <c r="X90" s="98"/>
      <c r="Y90" s="98"/>
      <c r="Z90" s="98"/>
    </row>
    <row r="91" spans="1:26" ht="25.8" hidden="1" customHeight="1">
      <c r="A91" s="65" t="s">
        <v>247</v>
      </c>
      <c r="B91" s="349"/>
      <c r="C91" s="99">
        <f>64036+1043</f>
        <v>65079</v>
      </c>
      <c r="D91" s="99">
        <f>60316+1792</f>
        <v>62108</v>
      </c>
      <c r="E91" s="99">
        <f>64490+1599</f>
        <v>66089</v>
      </c>
      <c r="F91" s="99">
        <f>59558+3213</f>
        <v>62771</v>
      </c>
      <c r="G91" s="99">
        <f>68412+3062</f>
        <v>71474</v>
      </c>
      <c r="H91" s="99">
        <f>75604+2929</f>
        <v>78533</v>
      </c>
      <c r="I91" s="99">
        <f>80728+4007</f>
        <v>84735</v>
      </c>
      <c r="J91" s="99">
        <f>84554+7582</f>
        <v>92136</v>
      </c>
      <c r="K91" s="99">
        <f>66201+1597</f>
        <v>67798</v>
      </c>
      <c r="L91" s="99">
        <f>67121+658</f>
        <v>67779</v>
      </c>
      <c r="M91" s="99">
        <f>72844+35</f>
        <v>72879</v>
      </c>
      <c r="N91" s="99">
        <f>73397+692</f>
        <v>74089</v>
      </c>
      <c r="O91" s="60">
        <f>AVERAGE(C91:N91)</f>
        <v>72122.5</v>
      </c>
      <c r="P91" s="68">
        <f>SUM(C91:N91)</f>
        <v>865470</v>
      </c>
      <c r="Q91" s="98"/>
      <c r="R91" s="98"/>
      <c r="S91" s="98"/>
      <c r="T91" s="98"/>
      <c r="U91" s="98"/>
      <c r="V91" s="98"/>
      <c r="W91" s="98"/>
      <c r="X91" s="98"/>
      <c r="Y91" s="98"/>
      <c r="Z91" s="98"/>
    </row>
    <row r="92" spans="1:26" ht="25.8" hidden="1" customHeight="1">
      <c r="A92" s="65" t="s">
        <v>231</v>
      </c>
      <c r="B92" s="349"/>
      <c r="C92" s="99">
        <v>11769</v>
      </c>
      <c r="D92" s="99">
        <v>9165</v>
      </c>
      <c r="E92" s="99">
        <v>10662</v>
      </c>
      <c r="F92" s="99">
        <v>8060</v>
      </c>
      <c r="G92" s="99">
        <v>8046</v>
      </c>
      <c r="H92" s="99">
        <v>9586</v>
      </c>
      <c r="I92" s="99">
        <v>9665</v>
      </c>
      <c r="J92" s="99">
        <v>8940</v>
      </c>
      <c r="K92" s="99">
        <v>9228</v>
      </c>
      <c r="L92" s="99">
        <v>8821</v>
      </c>
      <c r="M92" s="99">
        <v>7199</v>
      </c>
      <c r="N92" s="99">
        <v>10023</v>
      </c>
      <c r="O92" s="60">
        <f>AVERAGE(C92:N92)</f>
        <v>9263.6666666666661</v>
      </c>
      <c r="P92" s="68">
        <f>SUM(C92:N92)</f>
        <v>111164</v>
      </c>
      <c r="Q92" s="98"/>
      <c r="R92" s="98"/>
      <c r="S92" s="98"/>
      <c r="T92" s="98"/>
      <c r="U92" s="98"/>
      <c r="V92" s="98"/>
      <c r="W92" s="98"/>
      <c r="X92" s="98"/>
      <c r="Y92" s="98"/>
      <c r="Z92" s="98"/>
    </row>
    <row r="93" spans="1:26" ht="25.8" hidden="1" customHeight="1" thickBot="1">
      <c r="A93" s="100" t="s">
        <v>240</v>
      </c>
      <c r="B93" s="351"/>
      <c r="C93" s="101">
        <v>129890</v>
      </c>
      <c r="D93" s="101">
        <v>124766</v>
      </c>
      <c r="E93" s="101">
        <v>135618</v>
      </c>
      <c r="F93" s="101">
        <v>134178</v>
      </c>
      <c r="G93" s="101">
        <v>135212</v>
      </c>
      <c r="H93" s="101">
        <v>134654</v>
      </c>
      <c r="I93" s="101">
        <v>149272</v>
      </c>
      <c r="J93" s="101">
        <v>155081</v>
      </c>
      <c r="K93" s="101">
        <v>138378</v>
      </c>
      <c r="L93" s="101">
        <v>143352</v>
      </c>
      <c r="M93" s="101">
        <v>119713</v>
      </c>
      <c r="N93" s="101">
        <v>142814</v>
      </c>
      <c r="O93" s="60">
        <f>AVERAGE(C93:N93)</f>
        <v>136910.66666666666</v>
      </c>
      <c r="P93" s="68">
        <f>SUM(C93:N93)</f>
        <v>1642928</v>
      </c>
      <c r="Q93" s="98"/>
      <c r="R93" s="98"/>
      <c r="S93" s="98"/>
      <c r="T93" s="98"/>
      <c r="U93" s="98"/>
      <c r="V93" s="98"/>
      <c r="W93" s="98"/>
      <c r="X93" s="98"/>
      <c r="Y93" s="98"/>
      <c r="Z93" s="98"/>
    </row>
    <row r="94" spans="1:26" ht="25.8" hidden="1" customHeight="1" thickBot="1">
      <c r="A94" s="69" t="s">
        <v>248</v>
      </c>
      <c r="B94" s="350"/>
      <c r="C94" s="77">
        <f t="shared" ref="C94:K94" si="28">SUM(C91+C93)</f>
        <v>194969</v>
      </c>
      <c r="D94" s="77">
        <f t="shared" si="28"/>
        <v>186874</v>
      </c>
      <c r="E94" s="77">
        <f t="shared" si="28"/>
        <v>201707</v>
      </c>
      <c r="F94" s="77">
        <f t="shared" si="28"/>
        <v>196949</v>
      </c>
      <c r="G94" s="77">
        <f t="shared" si="28"/>
        <v>206686</v>
      </c>
      <c r="H94" s="77">
        <f t="shared" si="28"/>
        <v>213187</v>
      </c>
      <c r="I94" s="77">
        <f t="shared" si="28"/>
        <v>234007</v>
      </c>
      <c r="J94" s="77">
        <f t="shared" si="28"/>
        <v>247217</v>
      </c>
      <c r="K94" s="77">
        <f t="shared" si="28"/>
        <v>206176</v>
      </c>
      <c r="L94" s="77">
        <f>SUM(L91+L93)</f>
        <v>211131</v>
      </c>
      <c r="M94" s="77">
        <f>SUM(M91+M93)</f>
        <v>192592</v>
      </c>
      <c r="N94" s="77">
        <f>SUM(N91+N93)</f>
        <v>216903</v>
      </c>
      <c r="O94" s="77">
        <f>SUM(O91+O93)</f>
        <v>209033.16666666666</v>
      </c>
      <c r="P94" s="93">
        <f>SUM(P91+P93)</f>
        <v>2508398</v>
      </c>
      <c r="Q94" s="98"/>
      <c r="R94" s="98"/>
      <c r="S94" s="98"/>
      <c r="T94" s="98"/>
      <c r="U94" s="98"/>
      <c r="V94" s="98"/>
      <c r="W94" s="98"/>
      <c r="X94" s="98"/>
      <c r="Y94" s="98"/>
      <c r="Z94" s="98"/>
    </row>
    <row r="95" spans="1:26" ht="25.8" hidden="1" customHeight="1">
      <c r="A95" s="96"/>
      <c r="B95" s="96"/>
      <c r="C95" s="97"/>
      <c r="D95" s="97"/>
      <c r="E95" s="97"/>
      <c r="F95" s="97"/>
      <c r="G95" s="97"/>
      <c r="H95" s="97"/>
      <c r="I95" s="97"/>
      <c r="J95" s="97"/>
      <c r="K95" s="97"/>
      <c r="L95" s="97"/>
      <c r="M95" s="97"/>
      <c r="N95" s="97"/>
      <c r="O95" s="97"/>
      <c r="P95" s="97"/>
      <c r="Q95" s="98"/>
      <c r="R95" s="98"/>
      <c r="S95" s="98"/>
      <c r="T95" s="98"/>
      <c r="U95" s="98"/>
      <c r="V95" s="98"/>
      <c r="W95" s="98"/>
      <c r="X95" s="98"/>
      <c r="Y95" s="98"/>
      <c r="Z95" s="98"/>
    </row>
    <row r="96" spans="1:26" ht="25.8" hidden="1" customHeight="1">
      <c r="A96" s="102" t="s">
        <v>249</v>
      </c>
      <c r="B96" s="102"/>
      <c r="C96" s="103"/>
      <c r="D96" s="103"/>
      <c r="E96" s="103"/>
      <c r="F96" s="103"/>
      <c r="G96" s="103"/>
      <c r="H96" s="103"/>
      <c r="I96" s="103"/>
      <c r="J96" s="103"/>
      <c r="K96" s="103"/>
      <c r="L96" s="103"/>
      <c r="M96" s="103"/>
      <c r="N96" s="103"/>
      <c r="O96" s="104"/>
      <c r="P96" s="103"/>
      <c r="Q96" s="98"/>
      <c r="R96" s="98"/>
      <c r="S96" s="98"/>
      <c r="T96" s="98"/>
      <c r="U96" s="98"/>
      <c r="V96" s="98"/>
      <c r="W96" s="98"/>
      <c r="X96" s="98"/>
      <c r="Y96" s="98"/>
      <c r="Z96" s="98"/>
    </row>
    <row r="97" spans="1:26" ht="25.8" hidden="1" customHeight="1">
      <c r="A97" s="105" t="s">
        <v>224</v>
      </c>
      <c r="B97" s="105"/>
      <c r="C97" s="104">
        <f t="shared" ref="C97:H97" si="29">SUM(C91/C78-1)</f>
        <v>5.5329430651726241E-2</v>
      </c>
      <c r="D97" s="104">
        <f t="shared" si="29"/>
        <v>7.2251091966921699E-2</v>
      </c>
      <c r="E97" s="104">
        <f t="shared" si="29"/>
        <v>0.17933938864005428</v>
      </c>
      <c r="F97" s="104">
        <f t="shared" si="29"/>
        <v>1.354711619195248E-2</v>
      </c>
      <c r="G97" s="104">
        <f t="shared" si="29"/>
        <v>0.15455690886182283</v>
      </c>
      <c r="H97" s="104">
        <f t="shared" si="29"/>
        <v>2.7380952380952284E-2</v>
      </c>
      <c r="I97" s="104">
        <f t="shared" ref="I97:N97" si="30">SUM(I91/I78-1)</f>
        <v>2.573569465796699E-2</v>
      </c>
      <c r="J97" s="104">
        <f t="shared" si="30"/>
        <v>9.3732193732193769E-2</v>
      </c>
      <c r="K97" s="104">
        <f t="shared" si="30"/>
        <v>5.0643111730977797E-2</v>
      </c>
      <c r="L97" s="104">
        <f t="shared" si="30"/>
        <v>3.6724892165560297E-2</v>
      </c>
      <c r="M97" s="104">
        <f t="shared" si="30"/>
        <v>3.6936385754734458E-2</v>
      </c>
      <c r="N97" s="104">
        <f t="shared" si="30"/>
        <v>-2.4220313981666797E-2</v>
      </c>
      <c r="O97" s="104"/>
      <c r="P97" s="104">
        <f>(P91-(SUM(C78:N78)))/(SUM(C78:N78))</f>
        <v>5.6901236452450009E-2</v>
      </c>
      <c r="Q97" s="98"/>
      <c r="R97" s="98"/>
      <c r="S97" s="98"/>
      <c r="T97" s="98"/>
      <c r="U97" s="98"/>
      <c r="V97" s="98"/>
      <c r="W97" s="98"/>
      <c r="X97" s="98"/>
      <c r="Y97" s="98"/>
      <c r="Z97" s="98"/>
    </row>
    <row r="98" spans="1:26" ht="25.8" hidden="1" customHeight="1">
      <c r="A98" s="105" t="s">
        <v>225</v>
      </c>
      <c r="B98" s="105"/>
      <c r="C98" s="104">
        <f t="shared" ref="C98:M99" si="31">SUM(C93/C80-1)</f>
        <v>7.814899356713001E-2</v>
      </c>
      <c r="D98" s="104">
        <f t="shared" si="31"/>
        <v>0.10179355169155513</v>
      </c>
      <c r="E98" s="104">
        <f t="shared" si="31"/>
        <v>8.71530950892212E-2</v>
      </c>
      <c r="F98" s="104">
        <f t="shared" si="31"/>
        <v>4.4284291140028742E-2</v>
      </c>
      <c r="G98" s="104">
        <f t="shared" si="31"/>
        <v>8.1947011706716033E-2</v>
      </c>
      <c r="H98" s="104">
        <f t="shared" si="31"/>
        <v>0.10233887010552345</v>
      </c>
      <c r="I98" s="104">
        <f>SUM(I93/I80-1)</f>
        <v>6.0848553763058755E-2</v>
      </c>
      <c r="J98" s="104">
        <f t="shared" si="31"/>
        <v>7.3306618496909781E-2</v>
      </c>
      <c r="K98" s="104">
        <f t="shared" si="31"/>
        <v>9.3439112466713548E-2</v>
      </c>
      <c r="L98" s="104">
        <f t="shared" si="31"/>
        <v>8.1632499075701803E-2</v>
      </c>
      <c r="M98" s="104">
        <f t="shared" si="31"/>
        <v>-4.728820978074888E-2</v>
      </c>
      <c r="N98" s="104">
        <f>SUM(N93/N80-1)</f>
        <v>0.10536296158698466</v>
      </c>
      <c r="O98" s="104"/>
      <c r="P98" s="110">
        <f>(P93-(SUM(C80:N80)))/(SUM(C80:N80))</f>
        <v>7.1558876685757292E-2</v>
      </c>
      <c r="Q98" s="98"/>
      <c r="R98" s="98"/>
      <c r="S98" s="98"/>
      <c r="T98" s="98"/>
      <c r="U98" s="98"/>
      <c r="V98" s="98"/>
      <c r="W98" s="98"/>
      <c r="X98" s="98"/>
      <c r="Y98" s="98"/>
      <c r="Z98" s="98"/>
    </row>
    <row r="99" spans="1:26" ht="25.8" hidden="1" customHeight="1">
      <c r="A99" s="106" t="s">
        <v>151</v>
      </c>
      <c r="B99" s="106"/>
      <c r="C99" s="104">
        <f t="shared" si="31"/>
        <v>7.042307650075208E-2</v>
      </c>
      <c r="D99" s="104">
        <f t="shared" si="31"/>
        <v>9.1796076231873913E-2</v>
      </c>
      <c r="E99" s="104">
        <f t="shared" si="31"/>
        <v>0.11572862792820193</v>
      </c>
      <c r="F99" s="104">
        <f t="shared" si="31"/>
        <v>3.4287364772607853E-2</v>
      </c>
      <c r="G99" s="104">
        <f t="shared" si="31"/>
        <v>0.10600020334230531</v>
      </c>
      <c r="H99" s="104">
        <f t="shared" si="31"/>
        <v>7.3486980910706823E-2</v>
      </c>
      <c r="I99" s="104">
        <f>SUM(I94/I81-1)</f>
        <v>4.7859788016245908E-2</v>
      </c>
      <c r="J99" s="104">
        <f t="shared" si="31"/>
        <v>8.0829278316260744E-2</v>
      </c>
      <c r="K99" s="104">
        <f t="shared" si="31"/>
        <v>7.8986618380494367E-2</v>
      </c>
      <c r="L99" s="104">
        <f t="shared" si="31"/>
        <v>6.6797701997362458E-2</v>
      </c>
      <c r="M99" s="104">
        <f t="shared" si="31"/>
        <v>-1.7076830425951095E-2</v>
      </c>
      <c r="N99" s="104">
        <f>SUM(N94/N81-1)</f>
        <v>5.7398027582643119E-2</v>
      </c>
      <c r="O99" s="104"/>
      <c r="P99" s="104">
        <f>(P94-(SUM(C81:N81)))/(SUM(C81:N81))</f>
        <v>6.645584689008234E-2</v>
      </c>
      <c r="Q99" s="98"/>
      <c r="R99" s="98"/>
      <c r="S99" s="98"/>
      <c r="T99" s="98"/>
      <c r="U99" s="98"/>
      <c r="V99" s="98"/>
      <c r="W99" s="98"/>
      <c r="X99" s="98"/>
      <c r="Y99" s="98"/>
      <c r="Z99" s="98"/>
    </row>
    <row r="100" spans="1:26" ht="25.8" hidden="1" customHeight="1">
      <c r="A100" s="56"/>
      <c r="B100" s="56"/>
      <c r="C100" s="56"/>
      <c r="D100" s="56"/>
      <c r="E100" s="56"/>
      <c r="F100" s="56"/>
      <c r="G100" s="56"/>
      <c r="H100" s="56"/>
      <c r="I100" s="56"/>
      <c r="J100" s="56"/>
      <c r="K100" s="56"/>
      <c r="L100" s="56"/>
      <c r="M100" s="56"/>
      <c r="N100" s="56"/>
      <c r="O100" s="56"/>
      <c r="P100" s="56"/>
      <c r="Q100" s="98"/>
      <c r="R100" s="98"/>
      <c r="S100" s="98"/>
      <c r="T100" s="98"/>
      <c r="U100" s="98"/>
      <c r="V100" s="98"/>
      <c r="W100" s="98"/>
      <c r="X100" s="98"/>
      <c r="Y100" s="98"/>
      <c r="Z100" s="98"/>
    </row>
    <row r="101" spans="1:26" ht="25.8" hidden="1" customHeight="1">
      <c r="A101" s="5443" t="s">
        <v>250</v>
      </c>
      <c r="B101" s="5444"/>
      <c r="C101" s="5444"/>
      <c r="D101" s="5444"/>
      <c r="E101" s="5444"/>
      <c r="F101" s="5444"/>
      <c r="G101" s="5444"/>
      <c r="H101" s="5444"/>
      <c r="I101" s="5444"/>
      <c r="J101" s="5444"/>
      <c r="K101" s="5444"/>
      <c r="L101" s="5444"/>
      <c r="M101" s="5444"/>
      <c r="N101" s="5444"/>
      <c r="O101" s="5444"/>
      <c r="P101" s="5445"/>
      <c r="Q101" s="98"/>
      <c r="R101" s="98"/>
      <c r="S101" s="98"/>
      <c r="T101" s="98"/>
      <c r="U101" s="98"/>
      <c r="V101" s="98"/>
      <c r="W101" s="98"/>
      <c r="X101" s="98"/>
      <c r="Y101" s="98"/>
      <c r="Z101" s="98"/>
    </row>
    <row r="102" spans="1:26" ht="25.8" hidden="1" customHeight="1">
      <c r="A102" s="62" t="s">
        <v>217</v>
      </c>
      <c r="B102" s="348"/>
      <c r="C102" s="63" t="s">
        <v>218</v>
      </c>
      <c r="D102" s="63" t="s">
        <v>207</v>
      </c>
      <c r="E102" s="63" t="s">
        <v>208</v>
      </c>
      <c r="F102" s="63" t="s">
        <v>219</v>
      </c>
      <c r="G102" s="63" t="s">
        <v>209</v>
      </c>
      <c r="H102" s="63" t="s">
        <v>210</v>
      </c>
      <c r="I102" s="63" t="s">
        <v>220</v>
      </c>
      <c r="J102" s="63" t="s">
        <v>221</v>
      </c>
      <c r="K102" s="63" t="s">
        <v>211</v>
      </c>
      <c r="L102" s="63" t="s">
        <v>212</v>
      </c>
      <c r="M102" s="63" t="s">
        <v>213</v>
      </c>
      <c r="N102" s="63" t="s">
        <v>222</v>
      </c>
      <c r="O102" s="63" t="s">
        <v>223</v>
      </c>
      <c r="P102" s="64" t="s">
        <v>151</v>
      </c>
      <c r="Q102" s="98"/>
      <c r="R102" s="98"/>
      <c r="S102" s="98"/>
      <c r="T102" s="98"/>
      <c r="U102" s="98"/>
      <c r="V102" s="98"/>
      <c r="W102" s="98"/>
      <c r="X102" s="98"/>
      <c r="Y102" s="98"/>
      <c r="Z102" s="98"/>
    </row>
    <row r="103" spans="1:26" ht="25.8" hidden="1" customHeight="1">
      <c r="A103" s="65" t="s">
        <v>224</v>
      </c>
      <c r="B103" s="349"/>
      <c r="C103" s="99">
        <f>58730+293</f>
        <v>59023</v>
      </c>
      <c r="D103" s="99">
        <f>57940+343</f>
        <v>58283</v>
      </c>
      <c r="E103" s="99">
        <f>65875+84</f>
        <v>65959</v>
      </c>
      <c r="F103" s="99">
        <f>61145+2116</f>
        <v>63261</v>
      </c>
      <c r="G103" s="99">
        <f>67843+2791</f>
        <v>70634</v>
      </c>
      <c r="H103" s="99">
        <f>64590+2325</f>
        <v>66915</v>
      </c>
      <c r="I103" s="99">
        <f>83881+5829</f>
        <v>89710</v>
      </c>
      <c r="J103" s="99">
        <f>82454+12225</f>
        <v>94679</v>
      </c>
      <c r="K103" s="99">
        <f>65904+3538</f>
        <v>69442</v>
      </c>
      <c r="L103" s="99">
        <f>70951+448</f>
        <v>71399</v>
      </c>
      <c r="M103" s="99">
        <f>75584+1810</f>
        <v>77394</v>
      </c>
      <c r="N103" s="99">
        <f>74129+983</f>
        <v>75112</v>
      </c>
      <c r="O103" s="60">
        <f>AVERAGE(C103:N103)</f>
        <v>71817.583333333328</v>
      </c>
      <c r="P103" s="68">
        <f>SUM(C103:N103)</f>
        <v>861811</v>
      </c>
      <c r="Q103" s="98"/>
      <c r="R103" s="371"/>
      <c r="S103" s="98"/>
      <c r="T103" s="98"/>
      <c r="U103" s="98"/>
      <c r="V103" s="98"/>
      <c r="W103" s="98"/>
      <c r="X103" s="98"/>
      <c r="Y103" s="98"/>
      <c r="Z103" s="98"/>
    </row>
    <row r="104" spans="1:26" ht="25.8" hidden="1" customHeight="1">
      <c r="A104" s="65" t="s">
        <v>231</v>
      </c>
      <c r="B104" s="349"/>
      <c r="C104" s="99">
        <v>11491</v>
      </c>
      <c r="D104" s="99">
        <v>10214</v>
      </c>
      <c r="E104" s="99">
        <v>10397</v>
      </c>
      <c r="F104" s="99">
        <v>9553</v>
      </c>
      <c r="G104" s="99">
        <v>8801</v>
      </c>
      <c r="H104" s="99">
        <v>9225</v>
      </c>
      <c r="I104" s="99">
        <v>10506</v>
      </c>
      <c r="J104" s="99">
        <v>10215</v>
      </c>
      <c r="K104" s="99">
        <v>9537</v>
      </c>
      <c r="L104" s="99">
        <v>8836</v>
      </c>
      <c r="M104" s="99">
        <v>8817</v>
      </c>
      <c r="N104" s="99">
        <v>11248</v>
      </c>
      <c r="O104" s="60">
        <f>AVERAGE(C104:N104)</f>
        <v>9903.3333333333339</v>
      </c>
      <c r="P104" s="68">
        <f>SUM(C104:N104)</f>
        <v>118840</v>
      </c>
      <c r="Q104" s="372"/>
      <c r="R104" s="372"/>
      <c r="S104" s="372"/>
      <c r="T104" s="372"/>
      <c r="U104" s="372"/>
      <c r="V104" s="372"/>
      <c r="W104" s="372"/>
      <c r="X104" s="372"/>
      <c r="Y104" s="372"/>
      <c r="Z104" s="372"/>
    </row>
    <row r="105" spans="1:26" ht="25.8" hidden="1" customHeight="1" thickBot="1">
      <c r="A105" s="100" t="s">
        <v>240</v>
      </c>
      <c r="B105" s="351"/>
      <c r="C105" s="101">
        <v>146098</v>
      </c>
      <c r="D105" s="101">
        <v>137332</v>
      </c>
      <c r="E105" s="101">
        <v>146888</v>
      </c>
      <c r="F105" s="101">
        <v>144977</v>
      </c>
      <c r="G105" s="101">
        <v>154928</v>
      </c>
      <c r="H105" s="101">
        <v>155364</v>
      </c>
      <c r="I105" s="101">
        <v>171808</v>
      </c>
      <c r="J105" s="101">
        <v>174975</v>
      </c>
      <c r="K105" s="101">
        <v>148989</v>
      </c>
      <c r="L105" s="101">
        <v>149114</v>
      </c>
      <c r="M105" s="101">
        <v>146963</v>
      </c>
      <c r="N105" s="101">
        <v>147356</v>
      </c>
      <c r="O105" s="60">
        <f>AVERAGE(C105:N105)</f>
        <v>152066</v>
      </c>
      <c r="P105" s="68">
        <f>SUM(C105:N105)</f>
        <v>1824792</v>
      </c>
      <c r="Q105" s="98"/>
      <c r="R105" s="98"/>
      <c r="S105" s="98"/>
      <c r="T105" s="98"/>
      <c r="U105" s="98"/>
      <c r="V105" s="98"/>
      <c r="W105" s="98"/>
      <c r="X105" s="98"/>
      <c r="Y105" s="98"/>
      <c r="Z105" s="98"/>
    </row>
    <row r="106" spans="1:26" ht="25.8" hidden="1" customHeight="1" thickBot="1">
      <c r="A106" s="69" t="s">
        <v>251</v>
      </c>
      <c r="B106" s="350"/>
      <c r="C106" s="77">
        <f t="shared" ref="C106:N106" si="32">SUM(C103+C105)</f>
        <v>205121</v>
      </c>
      <c r="D106" s="77">
        <f t="shared" si="32"/>
        <v>195615</v>
      </c>
      <c r="E106" s="77">
        <f t="shared" si="32"/>
        <v>212847</v>
      </c>
      <c r="F106" s="77">
        <f t="shared" si="32"/>
        <v>208238</v>
      </c>
      <c r="G106" s="77">
        <f t="shared" si="32"/>
        <v>225562</v>
      </c>
      <c r="H106" s="77">
        <f t="shared" si="32"/>
        <v>222279</v>
      </c>
      <c r="I106" s="77">
        <f t="shared" si="32"/>
        <v>261518</v>
      </c>
      <c r="J106" s="77">
        <f t="shared" si="32"/>
        <v>269654</v>
      </c>
      <c r="K106" s="77">
        <f t="shared" si="32"/>
        <v>218431</v>
      </c>
      <c r="L106" s="77">
        <f t="shared" si="32"/>
        <v>220513</v>
      </c>
      <c r="M106" s="77">
        <f t="shared" si="32"/>
        <v>224357</v>
      </c>
      <c r="N106" s="77">
        <f t="shared" si="32"/>
        <v>222468</v>
      </c>
      <c r="O106" s="77">
        <f>SUM(O103+O105)</f>
        <v>223883.58333333331</v>
      </c>
      <c r="P106" s="93">
        <f>SUM(P103+P105)</f>
        <v>2686603</v>
      </c>
      <c r="Q106" s="98"/>
      <c r="R106" s="98"/>
      <c r="S106" s="98"/>
      <c r="T106" s="98"/>
      <c r="U106" s="98"/>
      <c r="V106" s="98"/>
      <c r="W106" s="98"/>
      <c r="X106" s="98"/>
      <c r="Y106" s="98"/>
      <c r="Z106" s="98"/>
    </row>
    <row r="107" spans="1:26" ht="25.8" hidden="1" customHeight="1">
      <c r="A107" s="96"/>
      <c r="B107" s="96"/>
      <c r="C107" s="97"/>
      <c r="D107" s="97"/>
      <c r="E107" s="97"/>
      <c r="F107" s="97"/>
      <c r="G107" s="97"/>
      <c r="H107" s="97"/>
      <c r="I107" s="97"/>
      <c r="J107" s="97"/>
      <c r="K107" s="97"/>
      <c r="L107" s="97"/>
      <c r="M107" s="97"/>
      <c r="N107" s="97"/>
      <c r="O107" s="97"/>
      <c r="P107" s="97"/>
      <c r="Q107" s="98"/>
      <c r="R107" s="98"/>
      <c r="S107" s="98"/>
      <c r="T107" s="98"/>
      <c r="U107" s="98"/>
      <c r="V107" s="98"/>
      <c r="W107" s="98"/>
      <c r="X107" s="98"/>
      <c r="Y107" s="98"/>
      <c r="Z107" s="98"/>
    </row>
    <row r="108" spans="1:26" ht="25.8" hidden="1" customHeight="1">
      <c r="A108" s="102" t="s">
        <v>252</v>
      </c>
      <c r="B108" s="102"/>
      <c r="C108" s="103"/>
      <c r="D108" s="103"/>
      <c r="E108" s="103"/>
      <c r="F108" s="103"/>
      <c r="G108" s="103"/>
      <c r="H108" s="103"/>
      <c r="I108" s="103"/>
      <c r="J108" s="103"/>
      <c r="K108" s="103"/>
      <c r="L108" s="103"/>
      <c r="M108" s="103"/>
      <c r="N108" s="103"/>
      <c r="O108" s="104"/>
      <c r="P108" s="103"/>
      <c r="Q108" s="98"/>
      <c r="R108" s="98"/>
      <c r="S108" s="98"/>
      <c r="T108" s="98"/>
      <c r="U108" s="98"/>
      <c r="V108" s="98"/>
      <c r="W108" s="98"/>
      <c r="X108" s="98"/>
      <c r="Y108" s="98"/>
      <c r="Z108" s="98"/>
    </row>
    <row r="109" spans="1:26" ht="25.8" hidden="1" customHeight="1">
      <c r="A109" s="105" t="s">
        <v>224</v>
      </c>
      <c r="B109" s="105"/>
      <c r="C109" s="104">
        <f t="shared" ref="C109:H109" si="33">SUM(C103/C91-1)</f>
        <v>-9.3056131778300188E-2</v>
      </c>
      <c r="D109" s="104">
        <f t="shared" si="33"/>
        <v>-6.1586269079667688E-2</v>
      </c>
      <c r="E109" s="104">
        <f t="shared" si="33"/>
        <v>-1.967044440073229E-3</v>
      </c>
      <c r="F109" s="104">
        <f t="shared" si="33"/>
        <v>7.8061525226618134E-3</v>
      </c>
      <c r="G109" s="104">
        <f t="shared" si="33"/>
        <v>-1.1752525393849522E-2</v>
      </c>
      <c r="H109" s="104">
        <f t="shared" si="33"/>
        <v>-0.14793780958323255</v>
      </c>
      <c r="I109" s="104">
        <f t="shared" ref="I109:N109" si="34">SUM(I103/I91-1)</f>
        <v>5.8712456481973208E-2</v>
      </c>
      <c r="J109" s="104">
        <f t="shared" si="34"/>
        <v>2.7600503603368853E-2</v>
      </c>
      <c r="K109" s="104">
        <f t="shared" si="34"/>
        <v>2.4248502905690472E-2</v>
      </c>
      <c r="L109" s="104">
        <f t="shared" si="34"/>
        <v>5.3408872954749942E-2</v>
      </c>
      <c r="M109" s="104">
        <f t="shared" si="34"/>
        <v>6.1952002634503733E-2</v>
      </c>
      <c r="N109" s="104">
        <f t="shared" si="34"/>
        <v>1.3807717744874326E-2</v>
      </c>
      <c r="O109" s="104"/>
      <c r="P109" s="104">
        <f>(P103-(SUM(C91:N91)))/(SUM(C91:N91))</f>
        <v>-4.2277606387280901E-3</v>
      </c>
      <c r="Q109" s="98"/>
      <c r="R109" s="98"/>
      <c r="S109" s="98"/>
      <c r="T109" s="98"/>
      <c r="U109" s="98"/>
      <c r="V109" s="98"/>
      <c r="W109" s="98"/>
      <c r="X109" s="98"/>
      <c r="Y109" s="98"/>
      <c r="Z109" s="98"/>
    </row>
    <row r="110" spans="1:26" ht="25.8" hidden="1" customHeight="1">
      <c r="A110" s="105" t="s">
        <v>225</v>
      </c>
      <c r="B110" s="105"/>
      <c r="C110" s="104">
        <f t="shared" ref="C110:M111" si="35">SUM(C105/C93-1)</f>
        <v>0.12478250827623372</v>
      </c>
      <c r="D110" s="104">
        <f t="shared" si="35"/>
        <v>0.10071654136543606</v>
      </c>
      <c r="E110" s="104">
        <f t="shared" si="35"/>
        <v>8.310106328068545E-2</v>
      </c>
      <c r="F110" s="104">
        <f t="shared" si="35"/>
        <v>8.0482642460015796E-2</v>
      </c>
      <c r="G110" s="104">
        <f t="shared" si="35"/>
        <v>0.14581546016625735</v>
      </c>
      <c r="H110" s="104">
        <f t="shared" si="35"/>
        <v>0.15380159519954839</v>
      </c>
      <c r="I110" s="104">
        <f>SUM(I105/I93-1)</f>
        <v>0.15097272093895708</v>
      </c>
      <c r="J110" s="104">
        <f t="shared" si="35"/>
        <v>0.1282813497462616</v>
      </c>
      <c r="K110" s="104">
        <f t="shared" si="35"/>
        <v>7.6681264362832291E-2</v>
      </c>
      <c r="L110" s="104">
        <f t="shared" si="35"/>
        <v>4.0194765332886906E-2</v>
      </c>
      <c r="M110" s="104">
        <f t="shared" si="35"/>
        <v>0.22762774301871969</v>
      </c>
      <c r="N110" s="104">
        <f>SUM(N105/N93-1)</f>
        <v>3.1803604688615872E-2</v>
      </c>
      <c r="O110" s="104"/>
      <c r="P110" s="110">
        <f>(P105-(SUM(C93:N93)))/(SUM(C93:N93))</f>
        <v>0.11069505176124578</v>
      </c>
      <c r="Q110" s="98"/>
      <c r="R110" s="98"/>
      <c r="S110" s="98"/>
      <c r="T110" s="98"/>
      <c r="U110" s="98"/>
      <c r="V110" s="98"/>
      <c r="W110" s="98"/>
      <c r="X110" s="98"/>
      <c r="Y110" s="98"/>
      <c r="Z110" s="98"/>
    </row>
    <row r="111" spans="1:26" ht="25.8" hidden="1" customHeight="1">
      <c r="A111" s="106" t="s">
        <v>151</v>
      </c>
      <c r="B111" s="106"/>
      <c r="C111" s="104">
        <f t="shared" si="35"/>
        <v>5.2069816227195087E-2</v>
      </c>
      <c r="D111" s="104">
        <f t="shared" si="35"/>
        <v>4.6774832239904862E-2</v>
      </c>
      <c r="E111" s="104">
        <f t="shared" si="35"/>
        <v>5.5228623696748302E-2</v>
      </c>
      <c r="F111" s="104">
        <f t="shared" si="35"/>
        <v>5.7319407562363756E-2</v>
      </c>
      <c r="G111" s="104">
        <f t="shared" si="35"/>
        <v>9.132694038299638E-2</v>
      </c>
      <c r="H111" s="104">
        <f t="shared" si="35"/>
        <v>4.2648003865151329E-2</v>
      </c>
      <c r="I111" s="104">
        <f>SUM(I106/I94-1)</f>
        <v>0.11756485917087955</v>
      </c>
      <c r="J111" s="104">
        <f t="shared" si="35"/>
        <v>9.075832163645714E-2</v>
      </c>
      <c r="K111" s="104">
        <f t="shared" si="35"/>
        <v>5.9439507993170881E-2</v>
      </c>
      <c r="L111" s="104">
        <f t="shared" si="35"/>
        <v>4.4436866211025272E-2</v>
      </c>
      <c r="M111" s="104">
        <f t="shared" si="35"/>
        <v>0.16493416133588101</v>
      </c>
      <c r="N111" s="104">
        <f>SUM(N106/N94-1)</f>
        <v>2.5656629922131025E-2</v>
      </c>
      <c r="O111" s="104"/>
      <c r="P111" s="104">
        <f>(P106-(SUM(C94:N94)))/(SUM(C94:N94))</f>
        <v>7.1043351174733829E-2</v>
      </c>
      <c r="Q111" s="98"/>
      <c r="R111" s="98"/>
      <c r="S111" s="98"/>
      <c r="T111" s="98"/>
      <c r="U111" s="98"/>
      <c r="V111" s="98"/>
      <c r="W111" s="98"/>
      <c r="X111" s="98"/>
      <c r="Y111" s="98"/>
      <c r="Z111" s="98"/>
    </row>
    <row r="112" spans="1:26" ht="25.8" hidden="1" customHeight="1">
      <c r="A112" s="56"/>
      <c r="B112" s="56"/>
      <c r="C112" s="56"/>
      <c r="D112" s="56"/>
      <c r="E112" s="56"/>
      <c r="F112" s="56"/>
      <c r="G112" s="56"/>
      <c r="H112" s="56"/>
      <c r="I112" s="56"/>
      <c r="J112" s="56"/>
      <c r="K112" s="56"/>
      <c r="L112" s="56"/>
      <c r="M112" s="56"/>
      <c r="N112" s="56"/>
      <c r="O112" s="56"/>
      <c r="P112" s="56"/>
      <c r="Q112" s="98"/>
      <c r="R112" s="98"/>
      <c r="S112" s="98"/>
      <c r="T112" s="98"/>
      <c r="U112" s="98"/>
      <c r="V112" s="98"/>
      <c r="W112" s="98"/>
      <c r="X112" s="98"/>
      <c r="Y112" s="98"/>
      <c r="Z112" s="98"/>
    </row>
    <row r="113" spans="1:26" ht="25.8" hidden="1" customHeight="1">
      <c r="A113" s="5443" t="s">
        <v>253</v>
      </c>
      <c r="B113" s="5444"/>
      <c r="C113" s="5444"/>
      <c r="D113" s="5444"/>
      <c r="E113" s="5444"/>
      <c r="F113" s="5444"/>
      <c r="G113" s="5444"/>
      <c r="H113" s="5444"/>
      <c r="I113" s="5444"/>
      <c r="J113" s="5444"/>
      <c r="K113" s="5444"/>
      <c r="L113" s="5444"/>
      <c r="M113" s="5444"/>
      <c r="N113" s="5444"/>
      <c r="O113" s="5444"/>
      <c r="P113" s="5445"/>
      <c r="Q113" s="98"/>
      <c r="R113" s="98"/>
      <c r="S113" s="98"/>
      <c r="T113" s="98"/>
      <c r="U113" s="98"/>
      <c r="V113" s="98"/>
      <c r="W113" s="98"/>
      <c r="X113" s="98"/>
      <c r="Y113" s="98"/>
      <c r="Z113" s="98"/>
    </row>
    <row r="114" spans="1:26" ht="25.8" hidden="1" customHeight="1">
      <c r="A114" s="62" t="s">
        <v>217</v>
      </c>
      <c r="B114" s="348"/>
      <c r="C114" s="63" t="s">
        <v>218</v>
      </c>
      <c r="D114" s="63" t="s">
        <v>207</v>
      </c>
      <c r="E114" s="63" t="s">
        <v>208</v>
      </c>
      <c r="F114" s="63" t="s">
        <v>219</v>
      </c>
      <c r="G114" s="63" t="s">
        <v>209</v>
      </c>
      <c r="H114" s="63" t="s">
        <v>210</v>
      </c>
      <c r="I114" s="63" t="s">
        <v>220</v>
      </c>
      <c r="J114" s="63" t="s">
        <v>221</v>
      </c>
      <c r="K114" s="63" t="s">
        <v>211</v>
      </c>
      <c r="L114" s="63" t="s">
        <v>212</v>
      </c>
      <c r="M114" s="63" t="s">
        <v>213</v>
      </c>
      <c r="N114" s="63" t="s">
        <v>222</v>
      </c>
      <c r="O114" s="63" t="s">
        <v>223</v>
      </c>
      <c r="P114" s="64" t="s">
        <v>151</v>
      </c>
      <c r="Q114" s="98"/>
      <c r="R114" s="98"/>
      <c r="S114" s="98"/>
      <c r="T114" s="98"/>
      <c r="U114" s="98"/>
      <c r="V114" s="98"/>
      <c r="W114" s="98"/>
      <c r="X114" s="98"/>
      <c r="Y114" s="98"/>
      <c r="Z114" s="98"/>
    </row>
    <row r="115" spans="1:26" ht="25.8" hidden="1" customHeight="1">
      <c r="A115" s="65" t="s">
        <v>224</v>
      </c>
      <c r="B115" s="349"/>
      <c r="C115" s="99">
        <f>68317+671</f>
        <v>68988</v>
      </c>
      <c r="D115" s="99">
        <f>65373+1579</f>
        <v>66952</v>
      </c>
      <c r="E115" s="99">
        <f>68447+393</f>
        <v>68840</v>
      </c>
      <c r="F115" s="99">
        <f>65085+802</f>
        <v>65887</v>
      </c>
      <c r="G115" s="99">
        <f>73096+3418</f>
        <v>76514</v>
      </c>
      <c r="H115" s="99">
        <f>84050+2973</f>
        <v>87023</v>
      </c>
      <c r="I115" s="99">
        <f>86619+7843</f>
        <v>94462</v>
      </c>
      <c r="J115" s="99">
        <f>91363+10058</f>
        <v>101421</v>
      </c>
      <c r="K115" s="99">
        <f>76968+1625</f>
        <v>78593</v>
      </c>
      <c r="L115" s="99">
        <f>80157+251</f>
        <v>80408</v>
      </c>
      <c r="M115" s="99">
        <f>83638+212</f>
        <v>83850</v>
      </c>
      <c r="N115" s="99">
        <f>89579+235</f>
        <v>89814</v>
      </c>
      <c r="O115" s="60">
        <f>AVERAGE(C115:N115)</f>
        <v>80229.333333333328</v>
      </c>
      <c r="P115" s="68">
        <f>SUM(C115:N115)</f>
        <v>962752</v>
      </c>
      <c r="Q115" s="98"/>
      <c r="R115" s="98"/>
      <c r="S115" s="98"/>
      <c r="T115" s="98"/>
      <c r="U115" s="98"/>
      <c r="V115" s="98"/>
      <c r="W115" s="98"/>
      <c r="X115" s="98"/>
      <c r="Y115" s="98"/>
      <c r="Z115" s="98"/>
    </row>
    <row r="116" spans="1:26" ht="25.8" hidden="1" customHeight="1">
      <c r="A116" s="65" t="s">
        <v>231</v>
      </c>
      <c r="B116" s="349"/>
      <c r="C116" s="99">
        <v>10532</v>
      </c>
      <c r="D116" s="99">
        <v>8621</v>
      </c>
      <c r="E116" s="99">
        <v>9608</v>
      </c>
      <c r="F116" s="99">
        <v>8403</v>
      </c>
      <c r="G116" s="99">
        <v>8010</v>
      </c>
      <c r="H116" s="99">
        <v>7854</v>
      </c>
      <c r="I116" s="99">
        <v>8169</v>
      </c>
      <c r="J116" s="99">
        <v>7990</v>
      </c>
      <c r="K116" s="99">
        <v>7532</v>
      </c>
      <c r="L116" s="99">
        <v>7667</v>
      </c>
      <c r="M116" s="99">
        <v>7822</v>
      </c>
      <c r="N116" s="99">
        <v>10756</v>
      </c>
      <c r="O116" s="60">
        <f>AVERAGE(C116:N116)</f>
        <v>8580.3333333333339</v>
      </c>
      <c r="P116" s="68">
        <f>SUM(C116:N116)</f>
        <v>102964</v>
      </c>
      <c r="Q116" s="98"/>
      <c r="R116" s="371"/>
      <c r="S116" s="98"/>
      <c r="T116" s="98"/>
      <c r="U116" s="98"/>
      <c r="V116" s="98"/>
      <c r="W116" s="98"/>
      <c r="X116" s="98"/>
      <c r="Y116" s="98"/>
      <c r="Z116" s="98"/>
    </row>
    <row r="117" spans="1:26" ht="25.8" hidden="1" customHeight="1" thickBot="1">
      <c r="A117" s="100" t="s">
        <v>240</v>
      </c>
      <c r="B117" s="351"/>
      <c r="C117" s="101">
        <v>134226</v>
      </c>
      <c r="D117" s="101">
        <v>125740</v>
      </c>
      <c r="E117" s="101">
        <v>143027</v>
      </c>
      <c r="F117" s="101">
        <v>131782</v>
      </c>
      <c r="G117" s="101">
        <v>139770</v>
      </c>
      <c r="H117" s="101">
        <v>136606</v>
      </c>
      <c r="I117" s="101">
        <v>147934</v>
      </c>
      <c r="J117" s="101">
        <v>153470</v>
      </c>
      <c r="K117" s="101">
        <v>135789</v>
      </c>
      <c r="L117" s="101">
        <v>142987</v>
      </c>
      <c r="M117" s="101">
        <v>142581</v>
      </c>
      <c r="N117" s="101">
        <v>130777</v>
      </c>
      <c r="O117" s="60">
        <f>AVERAGE(C117:N117)</f>
        <v>138724.08333333334</v>
      </c>
      <c r="P117" s="68">
        <f>SUM(C117:N117)</f>
        <v>1664689</v>
      </c>
      <c r="Q117" s="98"/>
      <c r="R117" s="373"/>
      <c r="S117" s="371"/>
      <c r="T117" s="98"/>
      <c r="U117" s="98"/>
      <c r="V117" s="98"/>
      <c r="W117" s="98"/>
      <c r="X117" s="98"/>
      <c r="Y117" s="98"/>
      <c r="Z117" s="98"/>
    </row>
    <row r="118" spans="1:26" ht="25.8" hidden="1" customHeight="1" thickBot="1">
      <c r="A118" s="69" t="s">
        <v>254</v>
      </c>
      <c r="B118" s="350"/>
      <c r="C118" s="77">
        <f t="shared" ref="C118:P118" si="36">SUM(C115+C117)</f>
        <v>203214</v>
      </c>
      <c r="D118" s="77">
        <f t="shared" si="36"/>
        <v>192692</v>
      </c>
      <c r="E118" s="77">
        <f t="shared" si="36"/>
        <v>211867</v>
      </c>
      <c r="F118" s="77">
        <f t="shared" si="36"/>
        <v>197669</v>
      </c>
      <c r="G118" s="77">
        <f t="shared" si="36"/>
        <v>216284</v>
      </c>
      <c r="H118" s="77">
        <f t="shared" si="36"/>
        <v>223629</v>
      </c>
      <c r="I118" s="77">
        <f t="shared" si="36"/>
        <v>242396</v>
      </c>
      <c r="J118" s="77">
        <f t="shared" si="36"/>
        <v>254891</v>
      </c>
      <c r="K118" s="77">
        <f t="shared" si="36"/>
        <v>214382</v>
      </c>
      <c r="L118" s="77">
        <f t="shared" si="36"/>
        <v>223395</v>
      </c>
      <c r="M118" s="77">
        <f t="shared" si="36"/>
        <v>226431</v>
      </c>
      <c r="N118" s="77">
        <f t="shared" si="36"/>
        <v>220591</v>
      </c>
      <c r="O118" s="77">
        <f t="shared" si="36"/>
        <v>218953.41666666669</v>
      </c>
      <c r="P118" s="77">
        <f t="shared" si="36"/>
        <v>2627441</v>
      </c>
      <c r="Q118" s="98"/>
      <c r="R118" s="98"/>
      <c r="S118" s="372"/>
      <c r="T118" s="98"/>
      <c r="U118" s="98"/>
      <c r="V118" s="98"/>
      <c r="W118" s="98"/>
      <c r="X118" s="98"/>
      <c r="Y118" s="98"/>
      <c r="Z118" s="98"/>
    </row>
    <row r="119" spans="1:26" ht="25.8" hidden="1" customHeight="1">
      <c r="A119" s="96"/>
      <c r="B119" s="96"/>
      <c r="C119" s="97"/>
      <c r="D119" s="97"/>
      <c r="E119" s="97"/>
      <c r="F119" s="97"/>
      <c r="G119" s="97"/>
      <c r="H119" s="97"/>
      <c r="I119" s="97"/>
      <c r="J119" s="97"/>
      <c r="K119" s="97"/>
      <c r="L119" s="97"/>
      <c r="M119" s="97"/>
      <c r="N119" s="97"/>
      <c r="O119" s="97"/>
      <c r="P119" s="97"/>
      <c r="Q119" s="98"/>
      <c r="R119" s="98"/>
      <c r="S119" s="98"/>
      <c r="T119" s="98"/>
      <c r="U119" s="98"/>
      <c r="V119" s="98"/>
      <c r="W119" s="98"/>
      <c r="X119" s="98"/>
      <c r="Y119" s="98"/>
      <c r="Z119" s="98"/>
    </row>
    <row r="120" spans="1:26" ht="25.8" hidden="1" customHeight="1">
      <c r="A120" s="102" t="s">
        <v>255</v>
      </c>
      <c r="B120" s="102"/>
      <c r="C120" s="103"/>
      <c r="D120" s="103"/>
      <c r="E120" s="103"/>
      <c r="F120" s="103"/>
      <c r="G120" s="103"/>
      <c r="H120" s="103"/>
      <c r="I120" s="103"/>
      <c r="J120" s="103"/>
      <c r="K120" s="103"/>
      <c r="L120" s="103"/>
      <c r="M120" s="103"/>
      <c r="N120" s="103"/>
      <c r="O120" s="104"/>
      <c r="P120" s="103"/>
      <c r="Q120" s="98"/>
      <c r="R120" s="98"/>
      <c r="S120" s="98"/>
      <c r="T120" s="98"/>
      <c r="U120" s="98"/>
      <c r="V120" s="98"/>
      <c r="W120" s="98"/>
      <c r="X120" s="98"/>
      <c r="Y120" s="98"/>
      <c r="Z120" s="98"/>
    </row>
    <row r="121" spans="1:26" ht="25.8" hidden="1" customHeight="1">
      <c r="A121" s="105" t="s">
        <v>224</v>
      </c>
      <c r="B121" s="105"/>
      <c r="C121" s="104">
        <f t="shared" ref="C121:H121" si="37">SUM(C115/C103-1)</f>
        <v>0.16883248902970038</v>
      </c>
      <c r="D121" s="104">
        <f t="shared" si="37"/>
        <v>0.14873976974417924</v>
      </c>
      <c r="E121" s="104">
        <f t="shared" si="37"/>
        <v>4.3678648857623736E-2</v>
      </c>
      <c r="F121" s="104">
        <f t="shared" si="37"/>
        <v>4.1510567332163628E-2</v>
      </c>
      <c r="G121" s="104">
        <f t="shared" si="37"/>
        <v>8.3246028824645268E-2</v>
      </c>
      <c r="H121" s="104">
        <f t="shared" si="37"/>
        <v>0.30050063513412528</v>
      </c>
      <c r="I121" s="104">
        <f t="shared" ref="I121:N121" si="38">SUM(I115/I103-1)</f>
        <v>5.2970683312897116E-2</v>
      </c>
      <c r="J121" s="104">
        <f t="shared" si="38"/>
        <v>7.1209032626031066E-2</v>
      </c>
      <c r="K121" s="104">
        <f t="shared" si="38"/>
        <v>0.13177903862215956</v>
      </c>
      <c r="L121" s="104">
        <f t="shared" si="38"/>
        <v>0.12617823779044524</v>
      </c>
      <c r="M121" s="104">
        <f t="shared" si="38"/>
        <v>8.3417319172028881E-2</v>
      </c>
      <c r="N121" s="104">
        <f t="shared" si="38"/>
        <v>0.19573437000745564</v>
      </c>
      <c r="O121" s="104"/>
      <c r="P121" s="104">
        <f>(P115-(SUM(C103:N103)))/(SUM(C103:N103))</f>
        <v>0.11712660896646712</v>
      </c>
      <c r="Q121" s="98"/>
      <c r="R121" s="98"/>
      <c r="S121" s="98"/>
      <c r="T121" s="98"/>
      <c r="U121" s="98"/>
      <c r="V121" s="98"/>
      <c r="W121" s="98"/>
      <c r="X121" s="98"/>
      <c r="Y121" s="98"/>
      <c r="Z121" s="98"/>
    </row>
    <row r="122" spans="1:26" ht="25.8" hidden="1" customHeight="1">
      <c r="A122" s="105" t="s">
        <v>225</v>
      </c>
      <c r="B122" s="105"/>
      <c r="C122" s="104">
        <f t="shared" ref="C122:N123" si="39">SUM(C117/C105-1)</f>
        <v>-8.1260523758025394E-2</v>
      </c>
      <c r="D122" s="104">
        <f t="shared" si="39"/>
        <v>-8.4408586491131032E-2</v>
      </c>
      <c r="E122" s="104">
        <f t="shared" si="39"/>
        <v>-2.6285333042862624E-2</v>
      </c>
      <c r="F122" s="104">
        <f t="shared" si="39"/>
        <v>-9.1014436772729468E-2</v>
      </c>
      <c r="G122" s="104">
        <f t="shared" si="39"/>
        <v>-9.7838996178870152E-2</v>
      </c>
      <c r="H122" s="104">
        <f t="shared" si="39"/>
        <v>-0.1207358203959733</v>
      </c>
      <c r="I122" s="104">
        <f>SUM(I117/I105-1)</f>
        <v>-0.13895744086422057</v>
      </c>
      <c r="J122" s="104">
        <f t="shared" si="39"/>
        <v>-0.12290327189598516</v>
      </c>
      <c r="K122" s="104">
        <f t="shared" si="39"/>
        <v>-8.8597144755653057E-2</v>
      </c>
      <c r="L122" s="104">
        <f t="shared" si="39"/>
        <v>-4.1089367866196325E-2</v>
      </c>
      <c r="M122" s="104">
        <f t="shared" si="39"/>
        <v>-2.9817028775950383E-2</v>
      </c>
      <c r="N122" s="104">
        <f t="shared" si="39"/>
        <v>-0.11250984011509546</v>
      </c>
      <c r="O122" s="104"/>
      <c r="P122" s="110">
        <f>(P117-(SUM(C105:N105)))/(SUM(C105:N105))</f>
        <v>-8.7737670923590194E-2</v>
      </c>
      <c r="Q122" s="98"/>
      <c r="R122" s="98"/>
      <c r="S122" s="98"/>
      <c r="T122" s="98"/>
      <c r="U122" s="98"/>
      <c r="V122" s="98"/>
      <c r="W122" s="98"/>
      <c r="X122" s="98"/>
      <c r="Y122" s="98"/>
      <c r="Z122" s="98"/>
    </row>
    <row r="123" spans="1:26" ht="25.8" hidden="1" customHeight="1">
      <c r="A123" s="106" t="s">
        <v>151</v>
      </c>
      <c r="B123" s="106"/>
      <c r="C123" s="104">
        <f t="shared" si="39"/>
        <v>-9.2969515554234272E-3</v>
      </c>
      <c r="D123" s="104">
        <f t="shared" si="39"/>
        <v>-1.4942616874983994E-2</v>
      </c>
      <c r="E123" s="104">
        <f t="shared" si="39"/>
        <v>-4.6042462426061359E-3</v>
      </c>
      <c r="F123" s="104">
        <f t="shared" si="39"/>
        <v>-5.0754425224982969E-2</v>
      </c>
      <c r="G123" s="104">
        <f t="shared" si="39"/>
        <v>-4.1132814924499717E-2</v>
      </c>
      <c r="H123" s="104">
        <f t="shared" si="39"/>
        <v>6.0734482339761531E-3</v>
      </c>
      <c r="I123" s="104">
        <f>SUM(I118/I106-1)</f>
        <v>-7.3119249917787732E-2</v>
      </c>
      <c r="J123" s="104">
        <f t="shared" si="39"/>
        <v>-5.4747936244224027E-2</v>
      </c>
      <c r="K123" s="104">
        <f t="shared" si="39"/>
        <v>-1.8536746157825634E-2</v>
      </c>
      <c r="L123" s="104">
        <f t="shared" si="39"/>
        <v>1.3069524245736153E-2</v>
      </c>
      <c r="M123" s="104">
        <f t="shared" si="39"/>
        <v>9.2441956346358545E-3</v>
      </c>
      <c r="N123" s="104">
        <f t="shared" si="39"/>
        <v>-8.437168491648217E-3</v>
      </c>
      <c r="O123" s="104"/>
      <c r="P123" s="104">
        <f>(P118-(SUM(C106:N106)))/(SUM(C106:N106))</f>
        <v>-2.2021117373873252E-2</v>
      </c>
      <c r="Q123" s="98"/>
      <c r="R123" s="98"/>
      <c r="S123" s="98"/>
      <c r="T123" s="98"/>
      <c r="U123" s="98"/>
      <c r="V123" s="98"/>
      <c r="W123" s="98"/>
      <c r="X123" s="98"/>
      <c r="Y123" s="98"/>
      <c r="Z123" s="98"/>
    </row>
    <row r="124" spans="1:26" ht="25.8" hidden="1" customHeight="1">
      <c r="A124" s="56"/>
      <c r="B124" s="56"/>
      <c r="C124" s="56"/>
      <c r="D124" s="56"/>
      <c r="E124" s="56"/>
      <c r="F124" s="56"/>
      <c r="G124" s="56"/>
      <c r="H124" s="56"/>
      <c r="I124" s="56"/>
      <c r="J124" s="56"/>
      <c r="K124" s="56"/>
      <c r="L124" s="56"/>
      <c r="M124" s="56"/>
      <c r="N124" s="56"/>
      <c r="O124" s="56"/>
      <c r="P124" s="56"/>
      <c r="Q124" s="98"/>
      <c r="R124" s="98"/>
      <c r="S124" s="98"/>
      <c r="T124" s="98"/>
      <c r="U124" s="98"/>
      <c r="V124" s="98"/>
      <c r="W124" s="98"/>
      <c r="X124" s="98"/>
      <c r="Y124" s="98"/>
      <c r="Z124" s="98"/>
    </row>
    <row r="125" spans="1:26" ht="25.8" hidden="1" customHeight="1">
      <c r="A125" s="5443" t="s">
        <v>256</v>
      </c>
      <c r="B125" s="5444"/>
      <c r="C125" s="5444"/>
      <c r="D125" s="5444"/>
      <c r="E125" s="5444"/>
      <c r="F125" s="5444"/>
      <c r="G125" s="5444"/>
      <c r="H125" s="5444"/>
      <c r="I125" s="5444"/>
      <c r="J125" s="5444"/>
      <c r="K125" s="5444"/>
      <c r="L125" s="5444"/>
      <c r="M125" s="5444"/>
      <c r="N125" s="5444"/>
      <c r="O125" s="5444"/>
      <c r="P125" s="5445"/>
      <c r="Q125" s="98"/>
      <c r="R125" s="98"/>
      <c r="S125" s="98"/>
      <c r="T125" s="98"/>
      <c r="U125" s="98"/>
      <c r="V125" s="98"/>
      <c r="W125" s="98"/>
      <c r="X125" s="98"/>
      <c r="Y125" s="98"/>
      <c r="Z125" s="98"/>
    </row>
    <row r="126" spans="1:26" ht="25.8" hidden="1" customHeight="1">
      <c r="A126" s="62" t="s">
        <v>217</v>
      </c>
      <c r="B126" s="348"/>
      <c r="C126" s="63" t="s">
        <v>218</v>
      </c>
      <c r="D126" s="63" t="s">
        <v>207</v>
      </c>
      <c r="E126" s="63" t="s">
        <v>208</v>
      </c>
      <c r="F126" s="63" t="s">
        <v>219</v>
      </c>
      <c r="G126" s="63" t="s">
        <v>209</v>
      </c>
      <c r="H126" s="63" t="s">
        <v>210</v>
      </c>
      <c r="I126" s="63" t="s">
        <v>220</v>
      </c>
      <c r="J126" s="63" t="s">
        <v>221</v>
      </c>
      <c r="K126" s="63" t="s">
        <v>211</v>
      </c>
      <c r="L126" s="63" t="s">
        <v>212</v>
      </c>
      <c r="M126" s="63" t="s">
        <v>213</v>
      </c>
      <c r="N126" s="63" t="s">
        <v>222</v>
      </c>
      <c r="O126" s="63" t="s">
        <v>223</v>
      </c>
      <c r="P126" s="64" t="s">
        <v>151</v>
      </c>
      <c r="Q126" s="98"/>
      <c r="R126" s="98"/>
      <c r="S126" s="98"/>
      <c r="T126" s="98"/>
      <c r="U126" s="98"/>
      <c r="V126" s="98"/>
      <c r="W126" s="98"/>
      <c r="X126" s="98"/>
      <c r="Y126" s="98"/>
      <c r="Z126" s="98"/>
    </row>
    <row r="127" spans="1:26" ht="25.8" hidden="1" customHeight="1">
      <c r="A127" s="65" t="s">
        <v>224</v>
      </c>
      <c r="B127" s="349"/>
      <c r="C127" s="120">
        <v>77456</v>
      </c>
      <c r="D127" s="120">
        <v>78911</v>
      </c>
      <c r="E127" s="120">
        <v>84693</v>
      </c>
      <c r="F127" s="120">
        <v>78076</v>
      </c>
      <c r="G127" s="120">
        <v>83219</v>
      </c>
      <c r="H127" s="120">
        <v>95627</v>
      </c>
      <c r="I127" s="120">
        <v>99216</v>
      </c>
      <c r="J127" s="120">
        <v>109120</v>
      </c>
      <c r="K127" s="120">
        <v>89693</v>
      </c>
      <c r="L127" s="120">
        <v>92433</v>
      </c>
      <c r="M127" s="120">
        <v>92226</v>
      </c>
      <c r="N127" s="120">
        <v>98513</v>
      </c>
      <c r="O127" s="60">
        <f>AVERAGE(C127:N127)</f>
        <v>89931.916666666672</v>
      </c>
      <c r="P127" s="68">
        <f>SUM(C127:N127)</f>
        <v>1079183</v>
      </c>
      <c r="Q127" s="98"/>
      <c r="R127" s="98"/>
      <c r="S127" s="98"/>
      <c r="T127" s="98"/>
      <c r="U127" s="98"/>
      <c r="V127" s="98"/>
      <c r="W127" s="98"/>
      <c r="X127" s="98"/>
      <c r="Y127" s="98"/>
      <c r="Z127" s="98"/>
    </row>
    <row r="128" spans="1:26" ht="25.8" hidden="1" customHeight="1">
      <c r="A128" s="65" t="s">
        <v>231</v>
      </c>
      <c r="B128" s="349"/>
      <c r="C128" s="120">
        <v>10020</v>
      </c>
      <c r="D128" s="120">
        <v>8145</v>
      </c>
      <c r="E128" s="120">
        <v>9633</v>
      </c>
      <c r="F128" s="120">
        <v>9248</v>
      </c>
      <c r="G128" s="120">
        <v>9083</v>
      </c>
      <c r="H128" s="120">
        <v>9655</v>
      </c>
      <c r="I128" s="120">
        <v>8834</v>
      </c>
      <c r="J128" s="120">
        <v>8938</v>
      </c>
      <c r="K128" s="120">
        <v>9744</v>
      </c>
      <c r="L128" s="120">
        <v>11174</v>
      </c>
      <c r="M128" s="120">
        <v>10107</v>
      </c>
      <c r="N128" s="120">
        <v>10207</v>
      </c>
      <c r="O128" s="60">
        <f>AVERAGE(C128:N128)</f>
        <v>9565.6666666666661</v>
      </c>
      <c r="P128" s="68">
        <f>SUM(C128:N128)</f>
        <v>114788</v>
      </c>
      <c r="Q128" s="98"/>
      <c r="R128" s="98"/>
      <c r="S128" s="98"/>
      <c r="T128" s="98"/>
      <c r="U128" s="98"/>
      <c r="V128" s="98"/>
      <c r="W128" s="98"/>
      <c r="X128" s="98"/>
      <c r="Y128" s="98"/>
      <c r="Z128" s="98"/>
    </row>
    <row r="129" spans="1:26" ht="25.8" hidden="1" customHeight="1" thickBot="1">
      <c r="A129" s="100" t="s">
        <v>240</v>
      </c>
      <c r="B129" s="351"/>
      <c r="C129" s="122">
        <v>149505</v>
      </c>
      <c r="D129" s="122">
        <v>127669</v>
      </c>
      <c r="E129" s="122">
        <v>129382</v>
      </c>
      <c r="F129" s="122">
        <v>131573</v>
      </c>
      <c r="G129" s="122">
        <v>136238</v>
      </c>
      <c r="H129" s="122">
        <v>136834</v>
      </c>
      <c r="I129" s="122">
        <v>149917</v>
      </c>
      <c r="J129" s="122">
        <v>155729</v>
      </c>
      <c r="K129" s="122">
        <v>127961</v>
      </c>
      <c r="L129" s="122">
        <v>142034</v>
      </c>
      <c r="M129" s="122">
        <v>135083</v>
      </c>
      <c r="N129" s="122">
        <v>125742</v>
      </c>
      <c r="O129" s="60">
        <f>AVERAGE(C129:N129)</f>
        <v>137305.58333333334</v>
      </c>
      <c r="P129" s="68">
        <f>SUM(C129:N129)</f>
        <v>1647667</v>
      </c>
      <c r="Q129" s="98"/>
      <c r="R129" s="98"/>
      <c r="S129" s="98"/>
      <c r="T129" s="98"/>
      <c r="U129" s="98"/>
      <c r="V129" s="98"/>
      <c r="W129" s="98"/>
      <c r="X129" s="98"/>
      <c r="Y129" s="98"/>
      <c r="Z129" s="98"/>
    </row>
    <row r="130" spans="1:26" ht="25.8" hidden="1" customHeight="1" thickBot="1">
      <c r="A130" s="69" t="s">
        <v>257</v>
      </c>
      <c r="B130" s="350"/>
      <c r="C130" s="77">
        <f t="shared" ref="C130:N130" si="40">SUM(C127+C129)</f>
        <v>226961</v>
      </c>
      <c r="D130" s="77">
        <f t="shared" si="40"/>
        <v>206580</v>
      </c>
      <c r="E130" s="77">
        <f t="shared" si="40"/>
        <v>214075</v>
      </c>
      <c r="F130" s="77">
        <f t="shared" si="40"/>
        <v>209649</v>
      </c>
      <c r="G130" s="77">
        <f t="shared" si="40"/>
        <v>219457</v>
      </c>
      <c r="H130" s="77">
        <f t="shared" si="40"/>
        <v>232461</v>
      </c>
      <c r="I130" s="77">
        <f t="shared" si="40"/>
        <v>249133</v>
      </c>
      <c r="J130" s="77">
        <f t="shared" si="40"/>
        <v>264849</v>
      </c>
      <c r="K130" s="77">
        <f t="shared" si="40"/>
        <v>217654</v>
      </c>
      <c r="L130" s="77">
        <f t="shared" si="40"/>
        <v>234467</v>
      </c>
      <c r="M130" s="77">
        <f t="shared" si="40"/>
        <v>227309</v>
      </c>
      <c r="N130" s="77">
        <f t="shared" si="40"/>
        <v>224255</v>
      </c>
      <c r="O130" s="77">
        <f>SUM(O127+O129)</f>
        <v>227237.5</v>
      </c>
      <c r="P130" s="93">
        <f>SUM(P127+P129)</f>
        <v>2726850</v>
      </c>
      <c r="Q130" s="98"/>
      <c r="R130" s="98"/>
      <c r="S130" s="98"/>
      <c r="T130" s="98"/>
      <c r="U130" s="98"/>
      <c r="V130" s="98"/>
      <c r="W130" s="98"/>
      <c r="X130" s="98"/>
      <c r="Y130" s="98"/>
      <c r="Z130" s="98"/>
    </row>
    <row r="131" spans="1:26" ht="25.8" hidden="1" customHeight="1">
      <c r="A131" s="96"/>
      <c r="B131" s="96"/>
      <c r="C131" s="97"/>
      <c r="D131" s="97"/>
      <c r="E131" s="97"/>
      <c r="F131" s="97"/>
      <c r="G131" s="97"/>
      <c r="H131" s="97"/>
      <c r="I131" s="97"/>
      <c r="J131" s="97"/>
      <c r="K131" s="97"/>
      <c r="L131" s="97"/>
      <c r="M131" s="97"/>
      <c r="N131" s="97"/>
      <c r="O131" s="97"/>
      <c r="P131" s="97"/>
      <c r="Q131" s="98"/>
      <c r="R131" s="98"/>
      <c r="S131" s="98"/>
      <c r="T131" s="98"/>
      <c r="U131" s="98"/>
      <c r="V131" s="98"/>
      <c r="W131" s="98"/>
      <c r="X131" s="98"/>
      <c r="Y131" s="98"/>
      <c r="Z131" s="98"/>
    </row>
    <row r="132" spans="1:26" ht="25.8" hidden="1" customHeight="1">
      <c r="A132" s="102" t="s">
        <v>258</v>
      </c>
      <c r="B132" s="102"/>
      <c r="C132" s="103"/>
      <c r="D132" s="103"/>
      <c r="E132" s="103"/>
      <c r="F132" s="103"/>
      <c r="G132" s="103"/>
      <c r="H132" s="103"/>
      <c r="I132" s="103"/>
      <c r="J132" s="103"/>
      <c r="K132" s="103"/>
      <c r="L132" s="103"/>
      <c r="M132" s="103"/>
      <c r="N132" s="103"/>
      <c r="O132" s="104"/>
      <c r="P132" s="103"/>
      <c r="Q132" s="98"/>
      <c r="R132" s="98"/>
      <c r="S132" s="98"/>
      <c r="T132" s="98"/>
      <c r="U132" s="98"/>
      <c r="V132" s="98"/>
      <c r="W132" s="98"/>
      <c r="X132" s="98"/>
      <c r="Y132" s="98"/>
      <c r="Z132" s="98"/>
    </row>
    <row r="133" spans="1:26" ht="25.8" hidden="1" customHeight="1">
      <c r="A133" s="105" t="s">
        <v>224</v>
      </c>
      <c r="B133" s="105"/>
      <c r="C133" s="104">
        <f t="shared" ref="C133:H133" si="41">SUM(C127/C115-1)</f>
        <v>0.12274598480895227</v>
      </c>
      <c r="D133" s="104">
        <f t="shared" si="41"/>
        <v>0.17862050424184495</v>
      </c>
      <c r="E133" s="104">
        <f t="shared" si="41"/>
        <v>0.23028762347472398</v>
      </c>
      <c r="F133" s="104">
        <f t="shared" si="41"/>
        <v>0.18499855813741717</v>
      </c>
      <c r="G133" s="104">
        <f t="shared" si="41"/>
        <v>8.7631021773793005E-2</v>
      </c>
      <c r="H133" s="104">
        <f t="shared" si="41"/>
        <v>9.8870413568826532E-2</v>
      </c>
      <c r="I133" s="104">
        <f t="shared" ref="I133:N133" si="42">SUM(I127/I115-1)</f>
        <v>5.0327115665558697E-2</v>
      </c>
      <c r="J133" s="104">
        <f t="shared" si="42"/>
        <v>7.5911300421017236E-2</v>
      </c>
      <c r="K133" s="104">
        <f t="shared" si="42"/>
        <v>0.1412339521331416</v>
      </c>
      <c r="L133" s="104">
        <f t="shared" si="42"/>
        <v>0.14954979604019503</v>
      </c>
      <c r="M133" s="104">
        <f t="shared" si="42"/>
        <v>9.9892665474060838E-2</v>
      </c>
      <c r="N133" s="104">
        <f t="shared" si="42"/>
        <v>9.6855724051929437E-2</v>
      </c>
      <c r="O133" s="104"/>
      <c r="P133" s="104">
        <f>(P127-(SUM(C115:N115)))/(SUM(C115:N115))</f>
        <v>0.12093560958585388</v>
      </c>
      <c r="Q133" s="98"/>
      <c r="R133" s="98"/>
      <c r="S133" s="98"/>
      <c r="T133" s="98"/>
      <c r="U133" s="98"/>
      <c r="V133" s="98"/>
      <c r="W133" s="98"/>
      <c r="X133" s="98"/>
      <c r="Y133" s="98"/>
      <c r="Z133" s="98"/>
    </row>
    <row r="134" spans="1:26" ht="25.8" hidden="1" customHeight="1">
      <c r="A134" s="105" t="s">
        <v>225</v>
      </c>
      <c r="B134" s="105"/>
      <c r="C134" s="104">
        <f t="shared" ref="C134:N135" si="43">SUM(C129/C117-1)</f>
        <v>0.11383040543560852</v>
      </c>
      <c r="D134" s="104">
        <f t="shared" si="43"/>
        <v>1.5341180213138239E-2</v>
      </c>
      <c r="E134" s="104">
        <f t="shared" si="43"/>
        <v>-9.5401567536199439E-2</v>
      </c>
      <c r="F134" s="104">
        <f t="shared" si="43"/>
        <v>-1.5859525580125267E-3</v>
      </c>
      <c r="G134" s="104">
        <f t="shared" si="43"/>
        <v>-2.5270086570794881E-2</v>
      </c>
      <c r="H134" s="104">
        <f t="shared" si="43"/>
        <v>1.6690335709999005E-3</v>
      </c>
      <c r="I134" s="104">
        <f>SUM(I129/I117-1)</f>
        <v>1.3404626387442997E-2</v>
      </c>
      <c r="J134" s="104">
        <f t="shared" si="43"/>
        <v>1.4719489150974097E-2</v>
      </c>
      <c r="K134" s="104">
        <f t="shared" si="43"/>
        <v>-5.7648263114096099E-2</v>
      </c>
      <c r="L134" s="104">
        <f t="shared" si="43"/>
        <v>-6.6649415681145907E-3</v>
      </c>
      <c r="M134" s="104">
        <f t="shared" si="43"/>
        <v>-5.2587651931182977E-2</v>
      </c>
      <c r="N134" s="104">
        <f t="shared" si="43"/>
        <v>-3.8500653784686922E-2</v>
      </c>
      <c r="O134" s="104"/>
      <c r="P134" s="110">
        <f>(P129-(SUM(C117:N117)))/(SUM(C117:N117))</f>
        <v>-1.0225333380589407E-2</v>
      </c>
      <c r="Q134" s="98"/>
      <c r="R134" s="98"/>
      <c r="S134" s="98"/>
      <c r="T134" s="98"/>
      <c r="U134" s="98"/>
      <c r="V134" s="98"/>
      <c r="W134" s="98"/>
      <c r="X134" s="98"/>
      <c r="Y134" s="98"/>
      <c r="Z134" s="98"/>
    </row>
    <row r="135" spans="1:26" ht="25.8" hidden="1" customHeight="1">
      <c r="A135" s="106" t="s">
        <v>151</v>
      </c>
      <c r="B135" s="106"/>
      <c r="C135" s="104">
        <f t="shared" si="43"/>
        <v>0.11685710630173118</v>
      </c>
      <c r="D135" s="104">
        <f t="shared" si="43"/>
        <v>7.207356818134647E-2</v>
      </c>
      <c r="E135" s="104">
        <f t="shared" si="43"/>
        <v>1.0421632439219009E-2</v>
      </c>
      <c r="F135" s="104">
        <f t="shared" si="43"/>
        <v>6.0606367209830481E-2</v>
      </c>
      <c r="G135" s="104">
        <f t="shared" si="43"/>
        <v>1.4670525790164701E-2</v>
      </c>
      <c r="H135" s="104">
        <f t="shared" si="43"/>
        <v>3.9493983338475758E-2</v>
      </c>
      <c r="I135" s="104">
        <f>SUM(I130/I118-1)</f>
        <v>2.7793362926781029E-2</v>
      </c>
      <c r="J135" s="104">
        <f t="shared" si="43"/>
        <v>3.9067679910236075E-2</v>
      </c>
      <c r="K135" s="104">
        <f t="shared" si="43"/>
        <v>1.5262475394389519E-2</v>
      </c>
      <c r="L135" s="104">
        <f t="shared" si="43"/>
        <v>4.9562434253228593E-2</v>
      </c>
      <c r="M135" s="104">
        <f t="shared" si="43"/>
        <v>3.8775609346777262E-3</v>
      </c>
      <c r="N135" s="104">
        <f t="shared" si="43"/>
        <v>1.6609925155604666E-2</v>
      </c>
      <c r="O135" s="104"/>
      <c r="P135" s="104">
        <f>(P130-(SUM(C118:N118)))/(SUM(C118:N118))</f>
        <v>3.7834912372913414E-2</v>
      </c>
      <c r="Q135" s="98"/>
      <c r="R135" s="98"/>
      <c r="S135" s="98"/>
      <c r="T135" s="98"/>
      <c r="U135" s="98"/>
      <c r="V135" s="98"/>
      <c r="W135" s="98"/>
      <c r="X135" s="98"/>
      <c r="Y135" s="98"/>
      <c r="Z135" s="98"/>
    </row>
    <row r="136" spans="1:26" ht="25.8" hidden="1" customHeight="1">
      <c r="A136" s="56"/>
      <c r="B136" s="56"/>
      <c r="C136" s="56"/>
      <c r="D136" s="56"/>
      <c r="E136" s="56"/>
      <c r="F136" s="56"/>
      <c r="G136" s="56"/>
      <c r="H136" s="56"/>
      <c r="I136" s="56"/>
      <c r="J136" s="56"/>
      <c r="K136" s="56"/>
      <c r="L136" s="56"/>
      <c r="M136" s="56"/>
      <c r="N136" s="56"/>
      <c r="O136" s="56"/>
      <c r="P136" s="56"/>
      <c r="Q136" s="98"/>
      <c r="R136" s="98"/>
      <c r="S136" s="98"/>
      <c r="T136" s="98"/>
      <c r="U136" s="98"/>
      <c r="V136" s="98"/>
      <c r="W136" s="98"/>
      <c r="X136" s="98"/>
      <c r="Y136" s="98"/>
      <c r="Z136" s="98"/>
    </row>
    <row r="137" spans="1:26" ht="25.8" hidden="1" customHeight="1">
      <c r="A137" s="5443" t="s">
        <v>259</v>
      </c>
      <c r="B137" s="5444"/>
      <c r="C137" s="5444"/>
      <c r="D137" s="5444"/>
      <c r="E137" s="5444"/>
      <c r="F137" s="5444"/>
      <c r="G137" s="5444"/>
      <c r="H137" s="5444"/>
      <c r="I137" s="5444"/>
      <c r="J137" s="5444"/>
      <c r="K137" s="5444"/>
      <c r="L137" s="5444"/>
      <c r="M137" s="5444"/>
      <c r="N137" s="5444"/>
      <c r="O137" s="5444"/>
      <c r="P137" s="5445"/>
      <c r="Q137" s="98"/>
      <c r="R137" s="98"/>
      <c r="S137" s="98"/>
      <c r="T137" s="98"/>
      <c r="U137" s="98"/>
      <c r="V137" s="98"/>
      <c r="W137" s="98"/>
      <c r="X137" s="98"/>
      <c r="Y137" s="98"/>
      <c r="Z137" s="98"/>
    </row>
    <row r="138" spans="1:26" ht="25.8" hidden="1" customHeight="1">
      <c r="A138" s="116" t="s">
        <v>217</v>
      </c>
      <c r="B138" s="352"/>
      <c r="C138" s="117" t="s">
        <v>218</v>
      </c>
      <c r="D138" s="117" t="s">
        <v>207</v>
      </c>
      <c r="E138" s="117" t="s">
        <v>208</v>
      </c>
      <c r="F138" s="117" t="s">
        <v>219</v>
      </c>
      <c r="G138" s="117" t="s">
        <v>209</v>
      </c>
      <c r="H138" s="117" t="s">
        <v>210</v>
      </c>
      <c r="I138" s="117" t="s">
        <v>220</v>
      </c>
      <c r="J138" s="117" t="s">
        <v>221</v>
      </c>
      <c r="K138" s="117" t="s">
        <v>211</v>
      </c>
      <c r="L138" s="117" t="s">
        <v>212</v>
      </c>
      <c r="M138" s="117" t="s">
        <v>213</v>
      </c>
      <c r="N138" s="117" t="s">
        <v>222</v>
      </c>
      <c r="O138" s="117" t="s">
        <v>223</v>
      </c>
      <c r="P138" s="118" t="s">
        <v>151</v>
      </c>
      <c r="Q138" s="98"/>
      <c r="R138" s="98"/>
      <c r="S138" s="98"/>
      <c r="T138" s="98"/>
      <c r="U138" s="98"/>
      <c r="V138" s="98"/>
      <c r="W138" s="98"/>
      <c r="X138" s="98"/>
      <c r="Y138" s="98"/>
      <c r="Z138" s="98"/>
    </row>
    <row r="139" spans="1:26" ht="25.8" hidden="1" customHeight="1">
      <c r="A139" s="119" t="s">
        <v>224</v>
      </c>
      <c r="B139" s="353"/>
      <c r="C139" s="120">
        <v>85525</v>
      </c>
      <c r="D139" s="120">
        <v>88166</v>
      </c>
      <c r="E139" s="120">
        <v>88731</v>
      </c>
      <c r="F139" s="120">
        <v>88078</v>
      </c>
      <c r="G139" s="120">
        <v>93892</v>
      </c>
      <c r="H139" s="120">
        <v>100089</v>
      </c>
      <c r="I139" s="120">
        <v>107114</v>
      </c>
      <c r="J139" s="120">
        <v>117359</v>
      </c>
      <c r="K139" s="120">
        <v>97547</v>
      </c>
      <c r="L139" s="120">
        <v>100798</v>
      </c>
      <c r="M139" s="120">
        <v>104521</v>
      </c>
      <c r="N139" s="120">
        <v>118872</v>
      </c>
      <c r="O139" s="60">
        <f>AVERAGE(C139:N139)</f>
        <v>99224.333333333328</v>
      </c>
      <c r="P139" s="68">
        <f>SUM(C139:N139)</f>
        <v>1190692</v>
      </c>
      <c r="Q139" s="98"/>
      <c r="R139" s="98"/>
      <c r="S139" s="98"/>
      <c r="T139" s="98"/>
      <c r="U139" s="98"/>
      <c r="V139" s="98"/>
      <c r="W139" s="98"/>
      <c r="X139" s="98"/>
      <c r="Y139" s="98"/>
      <c r="Z139" s="98"/>
    </row>
    <row r="140" spans="1:26" ht="25.8" hidden="1" customHeight="1">
      <c r="A140" s="119" t="s">
        <v>231</v>
      </c>
      <c r="B140" s="353"/>
      <c r="C140" s="120">
        <v>12497</v>
      </c>
      <c r="D140" s="120">
        <v>9631</v>
      </c>
      <c r="E140" s="120">
        <v>10278</v>
      </c>
      <c r="F140" s="120">
        <v>11547</v>
      </c>
      <c r="G140" s="120">
        <v>9880</v>
      </c>
      <c r="H140" s="120">
        <v>8636</v>
      </c>
      <c r="I140" s="120">
        <v>8261</v>
      </c>
      <c r="J140" s="120">
        <v>7498</v>
      </c>
      <c r="K140" s="120">
        <v>8308</v>
      </c>
      <c r="L140" s="120">
        <v>10756</v>
      </c>
      <c r="M140" s="120">
        <v>12609</v>
      </c>
      <c r="N140" s="120">
        <v>16057</v>
      </c>
      <c r="O140" s="60">
        <f>AVERAGE(C140:N140)</f>
        <v>10496.5</v>
      </c>
      <c r="P140" s="68">
        <f>SUM(C140:N140)</f>
        <v>125958</v>
      </c>
      <c r="Q140" s="98"/>
      <c r="R140" s="98"/>
      <c r="S140" s="98"/>
      <c r="T140" s="98"/>
      <c r="U140" s="98"/>
      <c r="V140" s="98"/>
      <c r="W140" s="98"/>
      <c r="X140" s="98"/>
      <c r="Y140" s="98"/>
      <c r="Z140" s="98"/>
    </row>
    <row r="141" spans="1:26" ht="25.8" hidden="1" customHeight="1" thickBot="1">
      <c r="A141" s="121" t="s">
        <v>240</v>
      </c>
      <c r="B141" s="354"/>
      <c r="C141" s="122">
        <v>138579</v>
      </c>
      <c r="D141" s="122">
        <v>129738</v>
      </c>
      <c r="E141" s="122">
        <v>139637</v>
      </c>
      <c r="F141" s="122">
        <v>137090</v>
      </c>
      <c r="G141" s="122">
        <v>134579</v>
      </c>
      <c r="H141" s="122">
        <v>127939</v>
      </c>
      <c r="I141" s="122">
        <v>141322</v>
      </c>
      <c r="J141" s="122">
        <v>148226</v>
      </c>
      <c r="K141" s="122">
        <v>135744</v>
      </c>
      <c r="L141" s="122">
        <v>137316</v>
      </c>
      <c r="M141" s="122">
        <v>133258</v>
      </c>
      <c r="N141" s="122">
        <v>123288</v>
      </c>
      <c r="O141" s="60">
        <f>AVERAGE(C141:N141)</f>
        <v>135559.66666666666</v>
      </c>
      <c r="P141" s="68">
        <f>SUM(C141:N141)</f>
        <v>1626716</v>
      </c>
      <c r="Q141" s="98"/>
      <c r="R141" s="98"/>
      <c r="S141" s="98"/>
      <c r="T141" s="98"/>
      <c r="U141" s="98"/>
      <c r="V141" s="98"/>
      <c r="W141" s="98"/>
      <c r="X141" s="98"/>
      <c r="Y141" s="98"/>
      <c r="Z141" s="98"/>
    </row>
    <row r="142" spans="1:26" ht="25.8" hidden="1" customHeight="1" thickBot="1">
      <c r="A142" s="123" t="s">
        <v>260</v>
      </c>
      <c r="B142" s="355"/>
      <c r="C142" s="124">
        <f t="shared" ref="C142:N142" si="44">SUM(C139+C141)</f>
        <v>224104</v>
      </c>
      <c r="D142" s="124">
        <f t="shared" si="44"/>
        <v>217904</v>
      </c>
      <c r="E142" s="124">
        <f t="shared" si="44"/>
        <v>228368</v>
      </c>
      <c r="F142" s="124">
        <f t="shared" si="44"/>
        <v>225168</v>
      </c>
      <c r="G142" s="124">
        <f t="shared" si="44"/>
        <v>228471</v>
      </c>
      <c r="H142" s="124">
        <f t="shared" si="44"/>
        <v>228028</v>
      </c>
      <c r="I142" s="124">
        <f t="shared" si="44"/>
        <v>248436</v>
      </c>
      <c r="J142" s="124">
        <f t="shared" si="44"/>
        <v>265585</v>
      </c>
      <c r="K142" s="124">
        <f t="shared" si="44"/>
        <v>233291</v>
      </c>
      <c r="L142" s="124">
        <f t="shared" si="44"/>
        <v>238114</v>
      </c>
      <c r="M142" s="124">
        <f t="shared" si="44"/>
        <v>237779</v>
      </c>
      <c r="N142" s="124">
        <f t="shared" si="44"/>
        <v>242160</v>
      </c>
      <c r="O142" s="124">
        <f>SUM(O139+O141)</f>
        <v>234784</v>
      </c>
      <c r="P142" s="125">
        <f>SUM(P139+P141)</f>
        <v>2817408</v>
      </c>
      <c r="Q142" s="98"/>
      <c r="R142" s="98"/>
      <c r="S142" s="98"/>
      <c r="T142" s="98"/>
      <c r="U142" s="98"/>
      <c r="V142" s="98"/>
      <c r="W142" s="98"/>
      <c r="X142" s="98"/>
      <c r="Y142" s="98"/>
      <c r="Z142" s="98"/>
    </row>
    <row r="143" spans="1:26" ht="25.8" hidden="1" customHeight="1">
      <c r="A143" s="96"/>
      <c r="B143" s="96"/>
      <c r="C143" s="97"/>
      <c r="D143" s="97"/>
      <c r="E143" s="97"/>
      <c r="F143" s="97"/>
      <c r="G143" s="97"/>
      <c r="H143" s="97"/>
      <c r="I143" s="97"/>
      <c r="J143" s="97"/>
      <c r="K143" s="97"/>
      <c r="L143" s="97"/>
      <c r="M143" s="97"/>
      <c r="N143" s="97"/>
      <c r="O143" s="97"/>
      <c r="P143" s="97"/>
      <c r="Q143" s="98"/>
      <c r="R143" s="98"/>
      <c r="S143" s="98"/>
      <c r="T143" s="98"/>
      <c r="U143" s="98"/>
      <c r="V143" s="98"/>
      <c r="W143" s="98"/>
      <c r="X143" s="98"/>
      <c r="Y143" s="98"/>
      <c r="Z143" s="98"/>
    </row>
    <row r="144" spans="1:26" ht="25.8" hidden="1" customHeight="1">
      <c r="A144" s="126" t="s">
        <v>261</v>
      </c>
      <c r="B144" s="126"/>
      <c r="C144" s="127"/>
      <c r="D144" s="127"/>
      <c r="E144" s="127"/>
      <c r="F144" s="127"/>
      <c r="G144" s="127"/>
      <c r="H144" s="127"/>
      <c r="I144" s="127"/>
      <c r="J144" s="127"/>
      <c r="K144" s="127"/>
      <c r="L144" s="127"/>
      <c r="M144" s="127"/>
      <c r="N144" s="127"/>
      <c r="O144" s="128"/>
      <c r="P144" s="127"/>
      <c r="Q144" s="98"/>
      <c r="R144" s="98"/>
      <c r="S144" s="98"/>
      <c r="T144" s="98"/>
      <c r="U144" s="98"/>
      <c r="V144" s="98"/>
      <c r="W144" s="98"/>
      <c r="X144" s="98"/>
      <c r="Y144" s="98"/>
      <c r="Z144" s="98"/>
    </row>
    <row r="145" spans="1:26" ht="25.8" hidden="1" customHeight="1">
      <c r="A145" s="129" t="s">
        <v>224</v>
      </c>
      <c r="B145" s="129"/>
      <c r="C145" s="128">
        <f t="shared" ref="C145:H145" si="45">SUM(C139/C127-1)</f>
        <v>0.10417527370378021</v>
      </c>
      <c r="D145" s="128">
        <f t="shared" si="45"/>
        <v>0.11728402884262024</v>
      </c>
      <c r="E145" s="128">
        <f t="shared" si="45"/>
        <v>4.7678084375332164E-2</v>
      </c>
      <c r="F145" s="128">
        <f t="shared" si="45"/>
        <v>0.12810594805061726</v>
      </c>
      <c r="G145" s="128">
        <f t="shared" si="45"/>
        <v>0.1282519616914406</v>
      </c>
      <c r="H145" s="128">
        <f t="shared" si="45"/>
        <v>4.6660462003409009E-2</v>
      </c>
      <c r="I145" s="128">
        <f t="shared" ref="I145:N145" si="46">SUM(I139/I127-1)</f>
        <v>7.9604096113530032E-2</v>
      </c>
      <c r="J145" s="128">
        <f t="shared" si="46"/>
        <v>7.5504032258064457E-2</v>
      </c>
      <c r="K145" s="128">
        <f t="shared" si="46"/>
        <v>8.7565361845405976E-2</v>
      </c>
      <c r="L145" s="128">
        <f t="shared" si="46"/>
        <v>9.0497982322330861E-2</v>
      </c>
      <c r="M145" s="128">
        <f t="shared" si="46"/>
        <v>0.13331381606054693</v>
      </c>
      <c r="N145" s="128">
        <f t="shared" si="46"/>
        <v>0.20666307999959388</v>
      </c>
      <c r="O145" s="128"/>
      <c r="P145" s="245">
        <f>(P139-(SUM(C127:N127)))/(SUM(C127:N127))</f>
        <v>0.1033272392170744</v>
      </c>
      <c r="Q145" s="98"/>
      <c r="R145" s="98"/>
      <c r="S145" s="98"/>
      <c r="T145" s="98"/>
      <c r="U145" s="98"/>
      <c r="V145" s="98"/>
      <c r="W145" s="98"/>
      <c r="X145" s="98"/>
      <c r="Y145" s="98"/>
      <c r="Z145" s="98"/>
    </row>
    <row r="146" spans="1:26" ht="25.8" hidden="1" customHeight="1">
      <c r="A146" s="129" t="s">
        <v>225</v>
      </c>
      <c r="B146" s="129"/>
      <c r="C146" s="128">
        <f t="shared" ref="C146:H147" si="47">SUM(C141/C129-1)</f>
        <v>-7.3081167853917939E-2</v>
      </c>
      <c r="D146" s="128">
        <f t="shared" si="47"/>
        <v>1.6205970125872327E-2</v>
      </c>
      <c r="E146" s="128">
        <f t="shared" si="47"/>
        <v>7.9261411942928683E-2</v>
      </c>
      <c r="F146" s="128">
        <f t="shared" si="47"/>
        <v>4.1931095285506981E-2</v>
      </c>
      <c r="G146" s="128">
        <f t="shared" si="47"/>
        <v>-1.2177219278028173E-2</v>
      </c>
      <c r="H146" s="128">
        <f t="shared" si="47"/>
        <v>-6.5005773418887136E-2</v>
      </c>
      <c r="I146" s="128">
        <f>SUM(I141/I129-1)</f>
        <v>-5.7331723553699754E-2</v>
      </c>
      <c r="J146" s="128">
        <f t="shared" ref="J146:N147" si="48">SUM(J141/J129-1)</f>
        <v>-4.8179850894823684E-2</v>
      </c>
      <c r="K146" s="128">
        <f t="shared" si="48"/>
        <v>6.082321957471426E-2</v>
      </c>
      <c r="L146" s="128">
        <f t="shared" si="48"/>
        <v>-3.3217398651027241E-2</v>
      </c>
      <c r="M146" s="128">
        <f t="shared" si="48"/>
        <v>-1.3510212239882136E-2</v>
      </c>
      <c r="N146" s="128">
        <f t="shared" si="48"/>
        <v>-1.9516152121009656E-2</v>
      </c>
      <c r="O146" s="128"/>
      <c r="P146" s="246">
        <f>(P141-(SUM(C129:N129)))/(SUM(C129:N129))</f>
        <v>-1.2715554781396968E-2</v>
      </c>
      <c r="Q146" s="98"/>
      <c r="R146" s="98"/>
      <c r="S146" s="98"/>
      <c r="T146" s="98"/>
      <c r="U146" s="98"/>
      <c r="V146" s="98"/>
      <c r="W146" s="98"/>
      <c r="X146" s="98"/>
      <c r="Y146" s="98"/>
      <c r="Z146" s="98"/>
    </row>
    <row r="147" spans="1:26" ht="25.8" hidden="1" customHeight="1">
      <c r="A147" s="130" t="s">
        <v>151</v>
      </c>
      <c r="B147" s="130"/>
      <c r="C147" s="128">
        <f t="shared" si="47"/>
        <v>-1.2588065791038994E-2</v>
      </c>
      <c r="D147" s="128">
        <f t="shared" si="47"/>
        <v>5.4816535966695668E-2</v>
      </c>
      <c r="E147" s="128">
        <f t="shared" si="47"/>
        <v>6.676632021487805E-2</v>
      </c>
      <c r="F147" s="128">
        <f t="shared" si="47"/>
        <v>7.4023725369546156E-2</v>
      </c>
      <c r="G147" s="128">
        <f t="shared" si="47"/>
        <v>4.107410563344982E-2</v>
      </c>
      <c r="H147" s="128">
        <f t="shared" si="47"/>
        <v>-1.9069865482812198E-2</v>
      </c>
      <c r="I147" s="128">
        <f>SUM(I142/I130-1)</f>
        <v>-2.7977024320342547E-3</v>
      </c>
      <c r="J147" s="128">
        <f t="shared" si="48"/>
        <v>2.7789419631563117E-3</v>
      </c>
      <c r="K147" s="128">
        <f t="shared" si="48"/>
        <v>7.1843384454225445E-2</v>
      </c>
      <c r="L147" s="128">
        <f t="shared" si="48"/>
        <v>1.5554427701979456E-2</v>
      </c>
      <c r="M147" s="128">
        <f t="shared" si="48"/>
        <v>4.6060648720464226E-2</v>
      </c>
      <c r="N147" s="128">
        <f t="shared" si="48"/>
        <v>7.9842143987870928E-2</v>
      </c>
      <c r="O147" s="128"/>
      <c r="P147" s="104">
        <f>(P142-(SUM(C130:N130)))/(SUM(C130:N130))</f>
        <v>3.3209747510864182E-2</v>
      </c>
      <c r="Q147" s="98"/>
      <c r="R147" s="98"/>
      <c r="S147" s="98"/>
      <c r="T147" s="98"/>
      <c r="U147" s="98"/>
      <c r="V147" s="98"/>
      <c r="W147" s="98"/>
      <c r="X147" s="98"/>
      <c r="Y147" s="98"/>
      <c r="Z147" s="98"/>
    </row>
    <row r="148" spans="1:26" ht="25.8" hidden="1" customHeight="1" thickBot="1">
      <c r="A148" s="131"/>
      <c r="B148" s="131"/>
      <c r="C148" s="131"/>
      <c r="D148" s="131"/>
      <c r="E148" s="131"/>
      <c r="F148" s="131"/>
      <c r="G148" s="131"/>
      <c r="H148" s="131"/>
      <c r="I148" s="131"/>
      <c r="J148" s="131"/>
      <c r="K148" s="131"/>
      <c r="L148" s="131"/>
      <c r="M148" s="131"/>
      <c r="N148" s="131"/>
      <c r="O148" s="131"/>
      <c r="P148" s="131"/>
      <c r="Q148" s="98"/>
      <c r="R148" s="98"/>
      <c r="S148" s="98"/>
      <c r="T148" s="98"/>
      <c r="U148" s="98"/>
      <c r="V148" s="98"/>
      <c r="W148" s="98"/>
      <c r="X148" s="98"/>
      <c r="Y148" s="98"/>
      <c r="Z148" s="98"/>
    </row>
    <row r="149" spans="1:26" ht="25.8" hidden="1" customHeight="1">
      <c r="A149" s="5451" t="s">
        <v>263</v>
      </c>
      <c r="B149" s="5452"/>
      <c r="C149" s="5452"/>
      <c r="D149" s="5452"/>
      <c r="E149" s="5452"/>
      <c r="F149" s="5452"/>
      <c r="G149" s="5452"/>
      <c r="H149" s="5452"/>
      <c r="I149" s="5452"/>
      <c r="J149" s="5452"/>
      <c r="K149" s="5452"/>
      <c r="L149" s="5452"/>
      <c r="M149" s="5452"/>
      <c r="N149" s="5452"/>
      <c r="O149" s="5452"/>
      <c r="P149" s="5453"/>
      <c r="Q149" s="98"/>
      <c r="R149" s="98"/>
      <c r="S149" s="98"/>
      <c r="T149" s="98"/>
      <c r="U149" s="98"/>
      <c r="V149" s="98"/>
      <c r="W149" s="98"/>
      <c r="X149" s="98"/>
      <c r="Y149" s="98"/>
      <c r="Z149" s="98"/>
    </row>
    <row r="150" spans="1:26" ht="25.8" hidden="1" customHeight="1">
      <c r="A150" s="135" t="s">
        <v>217</v>
      </c>
      <c r="B150" s="352"/>
      <c r="C150" s="117" t="s">
        <v>218</v>
      </c>
      <c r="D150" s="117" t="s">
        <v>207</v>
      </c>
      <c r="E150" s="117" t="s">
        <v>208</v>
      </c>
      <c r="F150" s="117" t="s">
        <v>219</v>
      </c>
      <c r="G150" s="117" t="s">
        <v>209</v>
      </c>
      <c r="H150" s="117" t="s">
        <v>210</v>
      </c>
      <c r="I150" s="117" t="s">
        <v>220</v>
      </c>
      <c r="J150" s="117" t="s">
        <v>221</v>
      </c>
      <c r="K150" s="117" t="s">
        <v>211</v>
      </c>
      <c r="L150" s="117" t="s">
        <v>212</v>
      </c>
      <c r="M150" s="117" t="s">
        <v>213</v>
      </c>
      <c r="N150" s="117" t="s">
        <v>222</v>
      </c>
      <c r="O150" s="117" t="s">
        <v>223</v>
      </c>
      <c r="P150" s="136" t="s">
        <v>151</v>
      </c>
      <c r="Q150" s="98"/>
      <c r="R150" s="98"/>
      <c r="S150" s="98"/>
      <c r="T150" s="98"/>
      <c r="U150" s="98"/>
      <c r="V150" s="98"/>
      <c r="W150" s="98"/>
      <c r="X150" s="98"/>
      <c r="Y150" s="98"/>
      <c r="Z150" s="98"/>
    </row>
    <row r="151" spans="1:26" ht="25.8" hidden="1" customHeight="1">
      <c r="A151" s="137" t="s">
        <v>224</v>
      </c>
      <c r="B151" s="353"/>
      <c r="C151" s="120">
        <v>101497</v>
      </c>
      <c r="D151" s="120">
        <v>93167</v>
      </c>
      <c r="E151" s="120">
        <v>95353</v>
      </c>
      <c r="F151" s="120">
        <v>88814</v>
      </c>
      <c r="G151" s="120">
        <v>96056</v>
      </c>
      <c r="H151" s="120">
        <v>100515</v>
      </c>
      <c r="I151" s="120">
        <v>109542</v>
      </c>
      <c r="J151" s="120">
        <v>113575</v>
      </c>
      <c r="K151" s="120">
        <v>100469</v>
      </c>
      <c r="L151" s="120">
        <v>102647</v>
      </c>
      <c r="M151" s="120">
        <v>106274</v>
      </c>
      <c r="N151" s="120">
        <v>107422</v>
      </c>
      <c r="O151" s="60">
        <f>AVERAGE(C151:N151)</f>
        <v>101277.58333333333</v>
      </c>
      <c r="P151" s="138">
        <f>SUM(C151:N151)</f>
        <v>1215331</v>
      </c>
      <c r="Q151" s="98"/>
      <c r="R151" s="98"/>
      <c r="S151" s="98"/>
      <c r="T151" s="98"/>
      <c r="U151" s="98"/>
      <c r="V151" s="98"/>
      <c r="W151" s="98"/>
      <c r="X151" s="98"/>
      <c r="Y151" s="98"/>
      <c r="Z151" s="98"/>
    </row>
    <row r="152" spans="1:26" ht="25.8" hidden="1" customHeight="1">
      <c r="A152" s="137" t="s">
        <v>231</v>
      </c>
      <c r="B152" s="353"/>
      <c r="C152" s="120">
        <v>14008</v>
      </c>
      <c r="D152" s="120">
        <v>12761</v>
      </c>
      <c r="E152" s="120">
        <v>11133</v>
      </c>
      <c r="F152" s="120">
        <v>8523</v>
      </c>
      <c r="G152" s="120">
        <v>7596</v>
      </c>
      <c r="H152" s="120">
        <v>9107</v>
      </c>
      <c r="I152" s="120">
        <v>11397</v>
      </c>
      <c r="J152" s="120">
        <v>10833</v>
      </c>
      <c r="K152" s="120">
        <v>8729</v>
      </c>
      <c r="L152" s="120">
        <v>5813</v>
      </c>
      <c r="M152" s="120">
        <v>5846</v>
      </c>
      <c r="N152" s="120">
        <v>7211</v>
      </c>
      <c r="O152" s="60">
        <f>AVERAGE(C152:N152)</f>
        <v>9413.0833333333339</v>
      </c>
      <c r="P152" s="138">
        <f>SUM(C152:N152)</f>
        <v>112957</v>
      </c>
      <c r="Q152" s="98"/>
      <c r="R152" s="98"/>
      <c r="S152" s="98"/>
      <c r="T152" s="98"/>
      <c r="U152" s="98"/>
      <c r="V152" s="98"/>
      <c r="W152" s="98"/>
      <c r="X152" s="98"/>
      <c r="Y152" s="98"/>
      <c r="Z152" s="98"/>
    </row>
    <row r="153" spans="1:26" ht="25.8" hidden="1" customHeight="1" thickBot="1">
      <c r="A153" s="139" t="s">
        <v>240</v>
      </c>
      <c r="B153" s="354"/>
      <c r="C153" s="122">
        <v>125659</v>
      </c>
      <c r="D153" s="122">
        <v>116344</v>
      </c>
      <c r="E153" s="122">
        <v>134086</v>
      </c>
      <c r="F153" s="122">
        <v>128202</v>
      </c>
      <c r="G153" s="122">
        <v>122503</v>
      </c>
      <c r="H153" s="122">
        <v>121181</v>
      </c>
      <c r="I153" s="122">
        <v>129387</v>
      </c>
      <c r="J153" s="122">
        <v>131167</v>
      </c>
      <c r="K153" s="122">
        <v>119256</v>
      </c>
      <c r="L153" s="122">
        <v>123219</v>
      </c>
      <c r="M153" s="122">
        <v>116177</v>
      </c>
      <c r="N153" s="122">
        <v>111502</v>
      </c>
      <c r="O153" s="60">
        <f>AVERAGE(C153:N153)</f>
        <v>123223.58333333333</v>
      </c>
      <c r="P153" s="138">
        <f>SUM(C153:N153)</f>
        <v>1478683</v>
      </c>
      <c r="Q153" s="98"/>
      <c r="R153" s="98"/>
      <c r="S153" s="98"/>
      <c r="T153" s="98"/>
      <c r="U153" s="98"/>
      <c r="V153" s="98"/>
      <c r="W153" s="98"/>
      <c r="X153" s="98"/>
      <c r="Y153" s="98"/>
      <c r="Z153" s="98"/>
    </row>
    <row r="154" spans="1:26" ht="25.8" hidden="1" customHeight="1" thickBot="1">
      <c r="A154" s="123" t="s">
        <v>264</v>
      </c>
      <c r="B154" s="355"/>
      <c r="C154" s="124">
        <f t="shared" ref="C154:N154" si="49">SUM(C151+C153)</f>
        <v>227156</v>
      </c>
      <c r="D154" s="124">
        <f t="shared" si="49"/>
        <v>209511</v>
      </c>
      <c r="E154" s="124">
        <f t="shared" si="49"/>
        <v>229439</v>
      </c>
      <c r="F154" s="124">
        <f t="shared" si="49"/>
        <v>217016</v>
      </c>
      <c r="G154" s="124">
        <f t="shared" si="49"/>
        <v>218559</v>
      </c>
      <c r="H154" s="124">
        <f t="shared" si="49"/>
        <v>221696</v>
      </c>
      <c r="I154" s="124">
        <f t="shared" si="49"/>
        <v>238929</v>
      </c>
      <c r="J154" s="124">
        <f t="shared" si="49"/>
        <v>244742</v>
      </c>
      <c r="K154" s="124">
        <f t="shared" si="49"/>
        <v>219725</v>
      </c>
      <c r="L154" s="124">
        <f t="shared" si="49"/>
        <v>225866</v>
      </c>
      <c r="M154" s="124">
        <f t="shared" si="49"/>
        <v>222451</v>
      </c>
      <c r="N154" s="124">
        <f t="shared" si="49"/>
        <v>218924</v>
      </c>
      <c r="O154" s="124">
        <f>SUM(O151+O153)</f>
        <v>224501.16666666666</v>
      </c>
      <c r="P154" s="644">
        <f>SUM(P151+P153)</f>
        <v>2694014</v>
      </c>
      <c r="Q154" s="98"/>
      <c r="R154" s="98"/>
      <c r="S154" s="98"/>
      <c r="T154" s="98"/>
      <c r="U154" s="98"/>
      <c r="V154" s="98"/>
      <c r="W154" s="98"/>
      <c r="X154" s="98"/>
      <c r="Y154" s="98"/>
      <c r="Z154" s="98"/>
    </row>
    <row r="155" spans="1:26" ht="25.8" hidden="1" customHeight="1">
      <c r="A155" s="140"/>
      <c r="B155" s="356"/>
      <c r="C155" s="141"/>
      <c r="D155" s="141"/>
      <c r="E155" s="141"/>
      <c r="F155" s="141"/>
      <c r="G155" s="141"/>
      <c r="H155" s="141"/>
      <c r="I155" s="141"/>
      <c r="J155" s="141"/>
      <c r="K155" s="141"/>
      <c r="L155" s="141"/>
      <c r="M155" s="141"/>
      <c r="N155" s="141"/>
      <c r="O155" s="141"/>
      <c r="P155" s="142"/>
      <c r="Q155" s="374"/>
      <c r="R155" s="374"/>
      <c r="S155" s="374"/>
      <c r="T155" s="374"/>
      <c r="U155" s="374"/>
      <c r="V155" s="374"/>
      <c r="W155" s="374"/>
      <c r="X155" s="374"/>
      <c r="Y155" s="374"/>
      <c r="Z155" s="374"/>
    </row>
    <row r="156" spans="1:26" ht="25.8" hidden="1" customHeight="1">
      <c r="A156" s="528" t="s">
        <v>265</v>
      </c>
      <c r="B156" s="529"/>
      <c r="C156" s="530"/>
      <c r="D156" s="530"/>
      <c r="E156" s="530"/>
      <c r="F156" s="530"/>
      <c r="G156" s="530"/>
      <c r="H156" s="530"/>
      <c r="I156" s="530"/>
      <c r="J156" s="530"/>
      <c r="K156" s="530"/>
      <c r="L156" s="530"/>
      <c r="M156" s="530"/>
      <c r="N156" s="530"/>
      <c r="O156" s="531"/>
      <c r="P156" s="532"/>
      <c r="Q156" s="533"/>
      <c r="R156" s="533"/>
      <c r="S156" s="533"/>
      <c r="T156" s="533"/>
      <c r="U156" s="533"/>
      <c r="V156" s="533"/>
      <c r="W156" s="533"/>
      <c r="X156" s="533"/>
      <c r="Y156" s="533"/>
      <c r="Z156" s="533"/>
    </row>
    <row r="157" spans="1:26" ht="25.8" hidden="1" customHeight="1">
      <c r="A157" s="534" t="s">
        <v>224</v>
      </c>
      <c r="B157" s="530"/>
      <c r="C157" s="531">
        <f t="shared" ref="C157:H157" si="50">SUM(C151/C139-1)</f>
        <v>0.18675241157556277</v>
      </c>
      <c r="D157" s="531">
        <f t="shared" si="50"/>
        <v>5.6722546106208638E-2</v>
      </c>
      <c r="E157" s="531">
        <f t="shared" si="50"/>
        <v>7.463006164700059E-2</v>
      </c>
      <c r="F157" s="531">
        <f t="shared" si="50"/>
        <v>8.3562297054882162E-3</v>
      </c>
      <c r="G157" s="531">
        <f t="shared" si="50"/>
        <v>2.3047756997401248E-2</v>
      </c>
      <c r="H157" s="531">
        <f t="shared" si="50"/>
        <v>4.2562119713454027E-3</v>
      </c>
      <c r="I157" s="531">
        <f t="shared" ref="I157:N157" si="51">SUM(I151/I139-1)</f>
        <v>2.2667438430083786E-2</v>
      </c>
      <c r="J157" s="531">
        <f t="shared" si="51"/>
        <v>-3.2242946855375432E-2</v>
      </c>
      <c r="K157" s="531">
        <f t="shared" si="51"/>
        <v>2.9954791023814265E-2</v>
      </c>
      <c r="L157" s="531">
        <f t="shared" si="51"/>
        <v>1.8343617928927136E-2</v>
      </c>
      <c r="M157" s="531">
        <f t="shared" si="51"/>
        <v>1.677174921786051E-2</v>
      </c>
      <c r="N157" s="531">
        <f t="shared" si="51"/>
        <v>-9.6322094353590404E-2</v>
      </c>
      <c r="O157" s="531"/>
      <c r="P157" s="535">
        <f>(P151-(SUM(C139:N139)))/(SUM(C139:N139))</f>
        <v>2.0693008771369925E-2</v>
      </c>
      <c r="Q157" s="533"/>
      <c r="R157" s="533"/>
      <c r="S157" s="533"/>
      <c r="T157" s="533"/>
      <c r="U157" s="533"/>
      <c r="V157" s="533"/>
      <c r="W157" s="533"/>
      <c r="X157" s="533"/>
      <c r="Y157" s="533"/>
      <c r="Z157" s="533"/>
    </row>
    <row r="158" spans="1:26" ht="25.8" hidden="1" customHeight="1">
      <c r="A158" s="534" t="s">
        <v>225</v>
      </c>
      <c r="B158" s="530"/>
      <c r="C158" s="531">
        <f t="shared" ref="C158:H158" si="52">SUM(C153/C141-1)</f>
        <v>-9.3232019281420664E-2</v>
      </c>
      <c r="D158" s="531">
        <f t="shared" si="52"/>
        <v>-0.10323883519092325</v>
      </c>
      <c r="E158" s="531">
        <f t="shared" si="52"/>
        <v>-3.9753074041980252E-2</v>
      </c>
      <c r="F158" s="531">
        <f t="shared" si="52"/>
        <v>-6.4833321175869818E-2</v>
      </c>
      <c r="G158" s="531">
        <f t="shared" si="52"/>
        <v>-8.9731681763127957E-2</v>
      </c>
      <c r="H158" s="531">
        <f t="shared" si="52"/>
        <v>-5.282204800725343E-2</v>
      </c>
      <c r="I158" s="531">
        <f t="shared" ref="I158:N159" si="53">SUM(I153/I141-1)</f>
        <v>-8.445252685356841E-2</v>
      </c>
      <c r="J158" s="531">
        <f t="shared" si="53"/>
        <v>-0.11508777137614179</v>
      </c>
      <c r="K158" s="531">
        <f t="shared" si="53"/>
        <v>-0.12146393210749651</v>
      </c>
      <c r="L158" s="531">
        <f t="shared" si="53"/>
        <v>-0.10266101546797168</v>
      </c>
      <c r="M158" s="531">
        <f t="shared" si="53"/>
        <v>-0.12817992165573544</v>
      </c>
      <c r="N158" s="531">
        <f t="shared" si="53"/>
        <v>-9.5597300629420512E-2</v>
      </c>
      <c r="O158" s="531"/>
      <c r="P158" s="536">
        <f>(P153-(SUM(C141:N141)))/(SUM(C141:N141))</f>
        <v>-9.1001133572178552E-2</v>
      </c>
      <c r="Q158" s="533"/>
      <c r="R158" s="533"/>
      <c r="S158" s="533"/>
      <c r="T158" s="533"/>
      <c r="U158" s="533"/>
      <c r="V158" s="533"/>
      <c r="W158" s="533"/>
      <c r="X158" s="533"/>
      <c r="Y158" s="533"/>
      <c r="Z158" s="533"/>
    </row>
    <row r="159" spans="1:26" ht="25.8" hidden="1" customHeight="1" thickBot="1">
      <c r="A159" s="537" t="s">
        <v>151</v>
      </c>
      <c r="B159" s="538"/>
      <c r="C159" s="539">
        <f t="shared" ref="C159:H159" si="54">SUM(C154/C142-1)</f>
        <v>1.3618677042801508E-2</v>
      </c>
      <c r="D159" s="539">
        <f t="shared" si="54"/>
        <v>-3.8516961597767851E-2</v>
      </c>
      <c r="E159" s="539">
        <f t="shared" si="54"/>
        <v>4.6897989210397117E-3</v>
      </c>
      <c r="F159" s="539">
        <f t="shared" si="54"/>
        <v>-3.6204078732324341E-2</v>
      </c>
      <c r="G159" s="539">
        <f t="shared" si="54"/>
        <v>-4.3384061872185131E-2</v>
      </c>
      <c r="H159" s="539">
        <f t="shared" si="54"/>
        <v>-2.7768519655480883E-2</v>
      </c>
      <c r="I159" s="539">
        <f t="shared" si="53"/>
        <v>-3.8267400859778755E-2</v>
      </c>
      <c r="J159" s="539">
        <f t="shared" si="53"/>
        <v>-7.8479582807764015E-2</v>
      </c>
      <c r="K159" s="539">
        <f t="shared" si="53"/>
        <v>-5.8150550171245374E-2</v>
      </c>
      <c r="L159" s="539">
        <f t="shared" si="53"/>
        <v>-5.1437546721318395E-2</v>
      </c>
      <c r="M159" s="539">
        <f t="shared" si="53"/>
        <v>-6.4463220048868952E-2</v>
      </c>
      <c r="N159" s="539">
        <f t="shared" si="53"/>
        <v>-9.5953088866864933E-2</v>
      </c>
      <c r="O159" s="539"/>
      <c r="P159" s="540">
        <f>(P154-(SUM(C142:N142)))/(SUM(C142:N142))</f>
        <v>-4.3796993548680205E-2</v>
      </c>
      <c r="Q159" s="533"/>
      <c r="R159" s="533"/>
      <c r="S159" s="533"/>
      <c r="T159" s="533"/>
      <c r="U159" s="533"/>
      <c r="V159" s="533"/>
      <c r="W159" s="533"/>
      <c r="X159" s="533"/>
      <c r="Y159" s="533"/>
      <c r="Z159" s="533"/>
    </row>
    <row r="160" spans="1:26" ht="25.8" hidden="1" customHeight="1" thickBot="1">
      <c r="A160" s="131"/>
      <c r="B160" s="131"/>
      <c r="C160" s="131"/>
      <c r="D160" s="131"/>
      <c r="E160" s="131"/>
      <c r="F160" s="131"/>
      <c r="G160" s="131"/>
      <c r="H160" s="131"/>
      <c r="I160" s="131"/>
      <c r="J160" s="131"/>
      <c r="K160" s="131"/>
      <c r="L160" s="131"/>
      <c r="M160" s="131"/>
      <c r="N160" s="131"/>
      <c r="O160" s="131"/>
      <c r="P160" s="131"/>
      <c r="Q160" s="98"/>
      <c r="R160" s="98"/>
      <c r="S160" s="98"/>
      <c r="T160" s="98"/>
      <c r="U160" s="98"/>
      <c r="V160" s="98"/>
      <c r="W160" s="98"/>
      <c r="X160" s="98"/>
      <c r="Y160" s="98"/>
      <c r="Z160" s="98"/>
    </row>
    <row r="161" spans="1:26" ht="25.8" hidden="1" customHeight="1">
      <c r="A161" s="5451" t="s">
        <v>504</v>
      </c>
      <c r="B161" s="5452"/>
      <c r="C161" s="5452"/>
      <c r="D161" s="5452"/>
      <c r="E161" s="5452"/>
      <c r="F161" s="5452"/>
      <c r="G161" s="5452"/>
      <c r="H161" s="5452"/>
      <c r="I161" s="5452"/>
      <c r="J161" s="5452"/>
      <c r="K161" s="5452"/>
      <c r="L161" s="5452"/>
      <c r="M161" s="5452"/>
      <c r="N161" s="5452"/>
      <c r="O161" s="5452"/>
      <c r="P161" s="5453"/>
      <c r="Q161" s="374"/>
      <c r="R161" s="374"/>
      <c r="S161" s="374"/>
      <c r="T161" s="374"/>
      <c r="U161" s="374"/>
      <c r="V161" s="374"/>
      <c r="W161" s="374"/>
      <c r="X161" s="374"/>
      <c r="Y161" s="374"/>
      <c r="Z161" s="374"/>
    </row>
    <row r="162" spans="1:26" ht="25.8" hidden="1" customHeight="1">
      <c r="A162" s="135" t="s">
        <v>217</v>
      </c>
      <c r="B162" s="352"/>
      <c r="C162" s="117" t="s">
        <v>218</v>
      </c>
      <c r="D162" s="117" t="s">
        <v>207</v>
      </c>
      <c r="E162" s="117" t="s">
        <v>208</v>
      </c>
      <c r="F162" s="117" t="s">
        <v>219</v>
      </c>
      <c r="G162" s="117" t="s">
        <v>209</v>
      </c>
      <c r="H162" s="117" t="s">
        <v>210</v>
      </c>
      <c r="I162" s="117" t="s">
        <v>220</v>
      </c>
      <c r="J162" s="117" t="s">
        <v>221</v>
      </c>
      <c r="K162" s="117" t="s">
        <v>211</v>
      </c>
      <c r="L162" s="117" t="s">
        <v>212</v>
      </c>
      <c r="M162" s="117" t="s">
        <v>213</v>
      </c>
      <c r="N162" s="117" t="s">
        <v>222</v>
      </c>
      <c r="O162" s="117" t="s">
        <v>223</v>
      </c>
      <c r="P162" s="136" t="s">
        <v>151</v>
      </c>
      <c r="Q162" s="374"/>
      <c r="R162" s="374"/>
      <c r="S162" s="374"/>
      <c r="T162" s="374"/>
      <c r="U162" s="374"/>
      <c r="V162" s="374"/>
      <c r="W162" s="374"/>
      <c r="X162" s="374"/>
      <c r="Y162" s="374"/>
      <c r="Z162" s="374"/>
    </row>
    <row r="163" spans="1:26" ht="25.8" hidden="1" customHeight="1">
      <c r="A163" s="137" t="s">
        <v>224</v>
      </c>
      <c r="B163" s="353" t="s">
        <v>728</v>
      </c>
      <c r="C163" s="120">
        <v>91476</v>
      </c>
      <c r="D163" s="120">
        <v>89410</v>
      </c>
      <c r="E163" s="120">
        <v>91540</v>
      </c>
      <c r="F163" s="120">
        <v>79098</v>
      </c>
      <c r="G163" s="120">
        <v>82023</v>
      </c>
      <c r="H163" s="120">
        <v>92423</v>
      </c>
      <c r="I163" s="120">
        <v>101264</v>
      </c>
      <c r="J163" s="120">
        <v>106882</v>
      </c>
      <c r="K163" s="120">
        <v>86018</v>
      </c>
      <c r="L163" s="120">
        <v>92148</v>
      </c>
      <c r="M163" s="120">
        <v>89116</v>
      </c>
      <c r="N163" s="120">
        <v>93710</v>
      </c>
      <c r="O163" s="60">
        <f>AVERAGE(C163:N163)</f>
        <v>91259</v>
      </c>
      <c r="P163" s="138">
        <f>SUM(C163:N163)</f>
        <v>1095108</v>
      </c>
      <c r="Q163" s="374"/>
      <c r="R163" s="374"/>
      <c r="S163" s="374"/>
      <c r="T163" s="374"/>
      <c r="U163" s="374"/>
      <c r="V163" s="374"/>
      <c r="W163" s="374"/>
      <c r="X163" s="374"/>
      <c r="Y163" s="374"/>
      <c r="Z163" s="374"/>
    </row>
    <row r="164" spans="1:26" ht="25.8" hidden="1" customHeight="1">
      <c r="A164" s="137" t="s">
        <v>231</v>
      </c>
      <c r="B164" s="353" t="s">
        <v>728</v>
      </c>
      <c r="C164" s="120">
        <v>5041</v>
      </c>
      <c r="D164" s="120">
        <v>4729</v>
      </c>
      <c r="E164" s="120">
        <v>5310</v>
      </c>
      <c r="F164" s="120">
        <v>5347</v>
      </c>
      <c r="G164" s="120">
        <v>5310</v>
      </c>
      <c r="H164" s="120">
        <v>6639</v>
      </c>
      <c r="I164" s="120">
        <v>5258</v>
      </c>
      <c r="J164" s="120">
        <v>5275</v>
      </c>
      <c r="K164" s="120">
        <v>6015</v>
      </c>
      <c r="L164" s="120">
        <v>5583</v>
      </c>
      <c r="M164" s="120">
        <v>5789</v>
      </c>
      <c r="N164" s="120">
        <v>6617</v>
      </c>
      <c r="O164" s="60">
        <f>AVERAGE(C164:N164)</f>
        <v>5576.083333333333</v>
      </c>
      <c r="P164" s="138">
        <f>SUM(C164:N164)</f>
        <v>66913</v>
      </c>
      <c r="Q164" s="374"/>
      <c r="R164" s="374"/>
      <c r="S164" s="374"/>
      <c r="T164" s="374"/>
      <c r="U164" s="374"/>
      <c r="V164" s="374"/>
      <c r="W164" s="374"/>
      <c r="X164" s="374"/>
      <c r="Y164" s="374"/>
      <c r="Z164" s="374"/>
    </row>
    <row r="165" spans="1:26" ht="25.8" hidden="1" customHeight="1" thickBot="1">
      <c r="A165" s="139" t="s">
        <v>240</v>
      </c>
      <c r="B165" s="354" t="s">
        <v>728</v>
      </c>
      <c r="C165" s="122">
        <v>111070</v>
      </c>
      <c r="D165" s="122">
        <v>107374</v>
      </c>
      <c r="E165" s="122">
        <v>117081</v>
      </c>
      <c r="F165" s="122">
        <v>99773</v>
      </c>
      <c r="G165" s="122">
        <v>103633</v>
      </c>
      <c r="H165" s="122">
        <v>105930</v>
      </c>
      <c r="I165" s="122">
        <v>115522</v>
      </c>
      <c r="J165" s="122">
        <v>116655</v>
      </c>
      <c r="K165" s="122">
        <v>105556</v>
      </c>
      <c r="L165" s="122">
        <v>112366</v>
      </c>
      <c r="M165" s="122">
        <v>109793</v>
      </c>
      <c r="N165" s="122">
        <v>108669</v>
      </c>
      <c r="O165" s="60">
        <f>AVERAGE(C165:N165)</f>
        <v>109451.83333333333</v>
      </c>
      <c r="P165" s="138">
        <f>SUM(C165:N165)</f>
        <v>1313422</v>
      </c>
      <c r="Q165" s="374"/>
      <c r="R165" s="374"/>
      <c r="S165" s="374"/>
      <c r="T165" s="374"/>
      <c r="U165" s="374"/>
      <c r="V165" s="374"/>
      <c r="W165" s="374"/>
      <c r="X165" s="374"/>
      <c r="Y165" s="374"/>
      <c r="Z165" s="374"/>
    </row>
    <row r="166" spans="1:26" ht="25.8" hidden="1" customHeight="1" thickBot="1">
      <c r="A166" s="123" t="s">
        <v>565</v>
      </c>
      <c r="B166" s="355"/>
      <c r="C166" s="124">
        <f>SUM(C163+C165)</f>
        <v>202546</v>
      </c>
      <c r="D166" s="124">
        <f t="shared" ref="D166:N166" si="55">SUM(D163+D165)</f>
        <v>196784</v>
      </c>
      <c r="E166" s="124">
        <f t="shared" si="55"/>
        <v>208621</v>
      </c>
      <c r="F166" s="124">
        <f t="shared" si="55"/>
        <v>178871</v>
      </c>
      <c r="G166" s="124">
        <f t="shared" si="55"/>
        <v>185656</v>
      </c>
      <c r="H166" s="124">
        <f t="shared" si="55"/>
        <v>198353</v>
      </c>
      <c r="I166" s="124">
        <f t="shared" si="55"/>
        <v>216786</v>
      </c>
      <c r="J166" s="124">
        <f t="shared" si="55"/>
        <v>223537</v>
      </c>
      <c r="K166" s="124">
        <f t="shared" si="55"/>
        <v>191574</v>
      </c>
      <c r="L166" s="124">
        <f t="shared" si="55"/>
        <v>204514</v>
      </c>
      <c r="M166" s="124">
        <f t="shared" si="55"/>
        <v>198909</v>
      </c>
      <c r="N166" s="124">
        <f t="shared" si="55"/>
        <v>202379</v>
      </c>
      <c r="O166" s="124">
        <f>SUM(O163+O165)</f>
        <v>200710.83333333331</v>
      </c>
      <c r="P166" s="644">
        <f>SUM(P163+P165)</f>
        <v>2408530</v>
      </c>
      <c r="Q166" s="374"/>
      <c r="R166" s="374"/>
      <c r="S166" s="374"/>
      <c r="T166" s="374"/>
      <c r="U166" s="374"/>
      <c r="V166" s="374"/>
      <c r="W166" s="374"/>
      <c r="X166" s="374"/>
      <c r="Y166" s="374"/>
      <c r="Z166" s="374"/>
    </row>
    <row r="167" spans="1:26" hidden="1">
      <c r="A167" s="140"/>
      <c r="B167" s="356"/>
      <c r="C167" s="141"/>
      <c r="D167" s="141"/>
      <c r="E167" s="141"/>
      <c r="F167" s="141"/>
      <c r="G167" s="141"/>
      <c r="H167" s="141"/>
      <c r="I167" s="141"/>
      <c r="J167" s="141"/>
      <c r="K167" s="141"/>
      <c r="L167" s="141"/>
      <c r="M167" s="141"/>
      <c r="N167" s="141"/>
      <c r="O167" s="141"/>
      <c r="P167" s="142"/>
      <c r="Q167" s="374"/>
      <c r="R167" s="374"/>
      <c r="S167" s="374"/>
      <c r="T167" s="374"/>
      <c r="U167" s="374"/>
      <c r="V167" s="374"/>
      <c r="W167" s="374"/>
      <c r="X167" s="374"/>
      <c r="Y167" s="374"/>
      <c r="Z167" s="374"/>
    </row>
    <row r="168" spans="1:26" hidden="1">
      <c r="A168" s="528" t="s">
        <v>505</v>
      </c>
      <c r="B168" s="529"/>
      <c r="C168" s="530"/>
      <c r="D168" s="530"/>
      <c r="E168" s="530"/>
      <c r="F168" s="530"/>
      <c r="G168" s="530"/>
      <c r="H168" s="530"/>
      <c r="I168" s="530"/>
      <c r="J168" s="530"/>
      <c r="K168" s="530"/>
      <c r="L168" s="530"/>
      <c r="M168" s="530"/>
      <c r="N168" s="530"/>
      <c r="O168" s="531"/>
      <c r="P168" s="532"/>
      <c r="Q168" s="533"/>
      <c r="R168" s="533"/>
      <c r="S168" s="533"/>
      <c r="T168" s="533"/>
      <c r="U168" s="533"/>
      <c r="V168" s="533"/>
      <c r="W168" s="533"/>
      <c r="X168" s="533"/>
      <c r="Y168" s="533"/>
      <c r="Z168" s="533"/>
    </row>
    <row r="169" spans="1:26" hidden="1">
      <c r="A169" s="534" t="s">
        <v>224</v>
      </c>
      <c r="B169" s="530"/>
      <c r="C169" s="531">
        <f t="shared" ref="C169:N169" si="56">SUM(C163/C151-1)</f>
        <v>-9.8731982226075599E-2</v>
      </c>
      <c r="D169" s="531">
        <f t="shared" si="56"/>
        <v>-4.0325437118292951E-2</v>
      </c>
      <c r="E169" s="531">
        <f t="shared" si="56"/>
        <v>-3.998825417134233E-2</v>
      </c>
      <c r="F169" s="531">
        <f t="shared" si="56"/>
        <v>-0.10939716711329295</v>
      </c>
      <c r="G169" s="531">
        <f t="shared" si="56"/>
        <v>-0.1460918630798701</v>
      </c>
      <c r="H169" s="531">
        <f t="shared" si="56"/>
        <v>-8.0505397204397311E-2</v>
      </c>
      <c r="I169" s="531">
        <f t="shared" si="56"/>
        <v>-7.556918807398072E-2</v>
      </c>
      <c r="J169" s="531">
        <f t="shared" si="56"/>
        <v>-5.893022232005285E-2</v>
      </c>
      <c r="K169" s="531">
        <f t="shared" si="56"/>
        <v>-0.14383541191810412</v>
      </c>
      <c r="L169" s="531">
        <f t="shared" si="56"/>
        <v>-0.10228258010463043</v>
      </c>
      <c r="M169" s="531">
        <f t="shared" si="56"/>
        <v>-0.16145058998438</v>
      </c>
      <c r="N169" s="531">
        <f t="shared" si="56"/>
        <v>-0.12764610601180393</v>
      </c>
      <c r="O169" s="531"/>
      <c r="P169" s="535">
        <f>(P163-(SUM(C151:N151)))/(SUM(C151:N151))</f>
        <v>-9.8922022066416468E-2</v>
      </c>
      <c r="Q169" s="1816"/>
      <c r="R169" s="533"/>
      <c r="S169" s="533"/>
      <c r="T169" s="533"/>
      <c r="U169" s="533"/>
      <c r="V169" s="533"/>
      <c r="W169" s="533"/>
      <c r="X169" s="533"/>
      <c r="Y169" s="533"/>
      <c r="Z169" s="533"/>
    </row>
    <row r="170" spans="1:26" hidden="1">
      <c r="A170" s="534" t="s">
        <v>225</v>
      </c>
      <c r="B170" s="530"/>
      <c r="C170" s="531">
        <f t="shared" ref="C170:N170" si="57">SUM(C165/C153-1)</f>
        <v>-0.11609992121535262</v>
      </c>
      <c r="D170" s="531">
        <f t="shared" si="57"/>
        <v>-7.709894794746619E-2</v>
      </c>
      <c r="E170" s="531">
        <f t="shared" si="57"/>
        <v>-0.12682159211252475</v>
      </c>
      <c r="F170" s="531">
        <f t="shared" si="57"/>
        <v>-0.22175161073930205</v>
      </c>
      <c r="G170" s="531">
        <f t="shared" si="57"/>
        <v>-0.15403704399075946</v>
      </c>
      <c r="H170" s="531">
        <f t="shared" si="57"/>
        <v>-0.12585306277386721</v>
      </c>
      <c r="I170" s="531">
        <f t="shared" si="57"/>
        <v>-0.10715914272685823</v>
      </c>
      <c r="J170" s="531">
        <f t="shared" si="57"/>
        <v>-0.11063758414845193</v>
      </c>
      <c r="K170" s="531">
        <f t="shared" si="57"/>
        <v>-0.1148789159455289</v>
      </c>
      <c r="L170" s="531">
        <f t="shared" si="57"/>
        <v>-8.8078948863405837E-2</v>
      </c>
      <c r="M170" s="531">
        <f t="shared" si="57"/>
        <v>-5.4950635667989411E-2</v>
      </c>
      <c r="N170" s="531">
        <f t="shared" si="57"/>
        <v>-2.540761600688779E-2</v>
      </c>
      <c r="O170" s="531"/>
      <c r="P170" s="536">
        <f>(P165-(SUM(C153:N153)))/(SUM(C153:N153))</f>
        <v>-0.11176229117397035</v>
      </c>
      <c r="Q170" s="533"/>
      <c r="R170" s="533"/>
      <c r="S170" s="533"/>
      <c r="T170" s="533"/>
      <c r="U170" s="533"/>
      <c r="V170" s="533"/>
      <c r="W170" s="533"/>
      <c r="X170" s="533"/>
      <c r="Y170" s="533"/>
      <c r="Z170" s="533"/>
    </row>
    <row r="171" spans="1:26" ht="15" hidden="1" thickBot="1">
      <c r="A171" s="537" t="s">
        <v>151</v>
      </c>
      <c r="B171" s="538"/>
      <c r="C171" s="539">
        <f t="shared" ref="C171:N171" si="58">SUM(C166/C154-1)</f>
        <v>-0.1083396432407685</v>
      </c>
      <c r="D171" s="539">
        <f t="shared" si="58"/>
        <v>-6.0746213802616578E-2</v>
      </c>
      <c r="E171" s="539">
        <f t="shared" si="58"/>
        <v>-9.0734356408457173E-2</v>
      </c>
      <c r="F171" s="539">
        <f t="shared" si="58"/>
        <v>-0.17577045010506143</v>
      </c>
      <c r="G171" s="539">
        <f t="shared" si="58"/>
        <v>-0.15054516171834609</v>
      </c>
      <c r="H171" s="539">
        <f t="shared" si="58"/>
        <v>-0.10529283342956119</v>
      </c>
      <c r="I171" s="539">
        <f t="shared" si="58"/>
        <v>-9.2676066948758851E-2</v>
      </c>
      <c r="J171" s="539">
        <f t="shared" si="58"/>
        <v>-8.6642260012584682E-2</v>
      </c>
      <c r="K171" s="539">
        <f t="shared" si="58"/>
        <v>-0.12811923995903973</v>
      </c>
      <c r="L171" s="539">
        <f t="shared" si="58"/>
        <v>-9.4533927195770917E-2</v>
      </c>
      <c r="M171" s="539">
        <f t="shared" si="58"/>
        <v>-0.10583004796561934</v>
      </c>
      <c r="N171" s="539">
        <f t="shared" si="58"/>
        <v>-7.5574171858727279E-2</v>
      </c>
      <c r="O171" s="539"/>
      <c r="P171" s="540">
        <f>(P166-(SUM(C154:N154)))/(SUM(C154:N154))</f>
        <v>-0.10596975368353691</v>
      </c>
      <c r="Q171" s="533"/>
      <c r="R171" s="533"/>
      <c r="S171" s="533"/>
      <c r="T171" s="533"/>
      <c r="U171" s="533"/>
      <c r="V171" s="533"/>
      <c r="W171" s="533"/>
      <c r="X171" s="533"/>
      <c r="Y171" s="533"/>
      <c r="Z171" s="533"/>
    </row>
    <row r="172" spans="1:26" ht="16.2" hidden="1" customHeight="1">
      <c r="A172" s="131"/>
      <c r="B172" s="131"/>
      <c r="C172" s="112"/>
      <c r="D172" s="131"/>
      <c r="E172" s="131"/>
      <c r="F172" s="131"/>
      <c r="G172" s="131"/>
      <c r="H172" s="131"/>
      <c r="I172" s="131"/>
      <c r="J172" s="131"/>
      <c r="K172" s="131"/>
      <c r="L172" s="131"/>
      <c r="M172" s="131"/>
      <c r="N172" s="131"/>
      <c r="O172" s="131"/>
      <c r="P172" s="131"/>
      <c r="Q172" s="1816"/>
      <c r="R172" s="374"/>
      <c r="S172" s="374"/>
      <c r="T172" s="374"/>
      <c r="U172" s="374"/>
      <c r="V172" s="374"/>
      <c r="W172" s="374"/>
      <c r="X172" s="374"/>
      <c r="Y172" s="374"/>
      <c r="Z172" s="374"/>
    </row>
    <row r="173" spans="1:26" ht="15.6" hidden="1" customHeight="1">
      <c r="A173" s="5449" t="s">
        <v>573</v>
      </c>
      <c r="B173" s="5450"/>
      <c r="C173" s="5450"/>
      <c r="D173" s="5450"/>
      <c r="E173" s="5450"/>
      <c r="F173" s="5450"/>
      <c r="G173" s="5450"/>
      <c r="H173" s="5450"/>
      <c r="I173" s="5450"/>
      <c r="J173" s="5450"/>
      <c r="K173" s="5450"/>
      <c r="L173" s="5450"/>
      <c r="M173" s="5450"/>
      <c r="N173" s="5450"/>
      <c r="O173" s="5450"/>
      <c r="P173" s="5450"/>
      <c r="Q173" s="131"/>
      <c r="R173" s="131"/>
      <c r="S173" s="131"/>
      <c r="T173" s="131"/>
      <c r="U173" s="131"/>
      <c r="V173" s="131"/>
      <c r="W173" s="131"/>
      <c r="X173" s="131"/>
      <c r="Y173" s="131"/>
      <c r="Z173" s="131"/>
    </row>
    <row r="174" spans="1:26" ht="15.6" hidden="1" customHeight="1">
      <c r="A174" s="116" t="s">
        <v>217</v>
      </c>
      <c r="B174" s="352"/>
      <c r="C174" s="117" t="s">
        <v>218</v>
      </c>
      <c r="D174" s="117" t="s">
        <v>207</v>
      </c>
      <c r="E174" s="117" t="s">
        <v>208</v>
      </c>
      <c r="F174" s="117" t="s">
        <v>219</v>
      </c>
      <c r="G174" s="117" t="s">
        <v>209</v>
      </c>
      <c r="H174" s="117" t="s">
        <v>210</v>
      </c>
      <c r="I174" s="117" t="s">
        <v>220</v>
      </c>
      <c r="J174" s="117" t="s">
        <v>221</v>
      </c>
      <c r="K174" s="117" t="s">
        <v>211</v>
      </c>
      <c r="L174" s="117" t="s">
        <v>212</v>
      </c>
      <c r="M174" s="117" t="s">
        <v>213</v>
      </c>
      <c r="N174" s="117" t="s">
        <v>222</v>
      </c>
      <c r="O174" s="117" t="s">
        <v>223</v>
      </c>
      <c r="P174" s="118" t="s">
        <v>151</v>
      </c>
      <c r="Q174" s="131"/>
      <c r="R174" s="131"/>
      <c r="S174" s="131"/>
      <c r="T174" s="131"/>
      <c r="U174" s="131"/>
      <c r="V174" s="131"/>
      <c r="W174" s="131"/>
      <c r="X174" s="131"/>
      <c r="Y174" s="131"/>
      <c r="Z174" s="131"/>
    </row>
    <row r="175" spans="1:26" ht="15.6" hidden="1" customHeight="1">
      <c r="A175" s="119" t="s">
        <v>224</v>
      </c>
      <c r="B175" s="353" t="s">
        <v>843</v>
      </c>
      <c r="C175" s="120">
        <v>83463</v>
      </c>
      <c r="D175" s="120">
        <v>74071</v>
      </c>
      <c r="E175" s="120">
        <v>90026</v>
      </c>
      <c r="F175" s="120">
        <v>92096</v>
      </c>
      <c r="G175" s="120">
        <v>93596</v>
      </c>
      <c r="H175" s="120">
        <v>98801</v>
      </c>
      <c r="I175" s="120">
        <v>106597</v>
      </c>
      <c r="J175" s="120">
        <v>116007</v>
      </c>
      <c r="K175" s="120">
        <v>94361</v>
      </c>
      <c r="L175" s="120">
        <v>95563</v>
      </c>
      <c r="M175" s="120">
        <v>95832</v>
      </c>
      <c r="N175" s="120">
        <v>103702</v>
      </c>
      <c r="O175" s="60">
        <f>AVERAGEIF(C175:N175, "&lt;&gt;0")</f>
        <v>95342.916666666672</v>
      </c>
      <c r="P175" s="68">
        <f>SUM(C175:N175)</f>
        <v>1144115</v>
      </c>
      <c r="Q175" s="1005"/>
      <c r="R175" s="131"/>
      <c r="S175" s="131"/>
      <c r="T175" s="131"/>
      <c r="U175" s="131"/>
      <c r="V175" s="131"/>
      <c r="W175" s="131"/>
      <c r="X175" s="131"/>
      <c r="Y175" s="131"/>
      <c r="Z175" s="131"/>
    </row>
    <row r="176" spans="1:26" ht="15.6" hidden="1" customHeight="1">
      <c r="A176" s="119" t="s">
        <v>231</v>
      </c>
      <c r="B176" s="353" t="s">
        <v>843</v>
      </c>
      <c r="C176" s="120">
        <v>4624</v>
      </c>
      <c r="D176" s="120">
        <v>5197</v>
      </c>
      <c r="E176" s="120">
        <v>6725</v>
      </c>
      <c r="F176" s="120">
        <v>5704</v>
      </c>
      <c r="G176" s="120">
        <v>5599</v>
      </c>
      <c r="H176" s="120">
        <v>4889</v>
      </c>
      <c r="I176" s="120">
        <v>4647</v>
      </c>
      <c r="J176" s="120">
        <v>4047</v>
      </c>
      <c r="K176" s="120">
        <v>4286</v>
      </c>
      <c r="L176" s="120">
        <v>5410</v>
      </c>
      <c r="M176" s="120">
        <v>4756</v>
      </c>
      <c r="N176" s="120">
        <v>5233</v>
      </c>
      <c r="O176" s="60">
        <f>AVERAGEIF(C176:N176, "&lt;&gt;0")</f>
        <v>5093.083333333333</v>
      </c>
      <c r="P176" s="68">
        <f>SUM(C176:N176)</f>
        <v>61117</v>
      </c>
      <c r="Q176" s="1005"/>
      <c r="R176" s="131"/>
      <c r="S176" s="131"/>
      <c r="T176" s="131"/>
      <c r="U176" s="131"/>
      <c r="V176" s="131"/>
      <c r="W176" s="131"/>
      <c r="X176" s="131"/>
      <c r="Y176" s="131"/>
      <c r="Z176" s="131"/>
    </row>
    <row r="177" spans="1:26" ht="15.6" hidden="1" customHeight="1" thickBot="1">
      <c r="A177" s="121" t="s">
        <v>240</v>
      </c>
      <c r="B177" s="354" t="s">
        <v>843</v>
      </c>
      <c r="C177" s="122">
        <v>114740</v>
      </c>
      <c r="D177" s="122">
        <v>99942</v>
      </c>
      <c r="E177" s="122">
        <v>118558</v>
      </c>
      <c r="F177" s="122">
        <v>106528</v>
      </c>
      <c r="G177" s="122">
        <v>109519</v>
      </c>
      <c r="H177" s="122">
        <v>104030</v>
      </c>
      <c r="I177" s="122">
        <v>117847</v>
      </c>
      <c r="J177" s="122">
        <v>120681</v>
      </c>
      <c r="K177" s="122">
        <v>104295</v>
      </c>
      <c r="L177" s="122">
        <v>100926</v>
      </c>
      <c r="M177" s="122">
        <v>102365</v>
      </c>
      <c r="N177" s="122">
        <v>103932</v>
      </c>
      <c r="O177" s="60">
        <f>AVERAGEIF(C177:N177, "&lt;&gt;0")</f>
        <v>108613.58333333333</v>
      </c>
      <c r="P177" s="68">
        <f>SUM(C177:N177)</f>
        <v>1303363</v>
      </c>
      <c r="Q177" s="1005"/>
      <c r="R177" s="131"/>
      <c r="S177" s="131"/>
      <c r="T177" s="131"/>
      <c r="U177" s="131"/>
      <c r="V177" s="131"/>
      <c r="W177" s="131"/>
      <c r="X177" s="131"/>
      <c r="Y177" s="131"/>
      <c r="Z177" s="131"/>
    </row>
    <row r="178" spans="1:26" ht="15.6" hidden="1" customHeight="1" thickBot="1">
      <c r="A178" s="123" t="s">
        <v>570</v>
      </c>
      <c r="B178" s="355"/>
      <c r="C178" s="124">
        <f t="shared" ref="C178:N178" si="59">SUM(C175+C177)</f>
        <v>198203</v>
      </c>
      <c r="D178" s="124">
        <f t="shared" si="59"/>
        <v>174013</v>
      </c>
      <c r="E178" s="124">
        <f t="shared" si="59"/>
        <v>208584</v>
      </c>
      <c r="F178" s="124">
        <f t="shared" si="59"/>
        <v>198624</v>
      </c>
      <c r="G178" s="124">
        <f t="shared" si="59"/>
        <v>203115</v>
      </c>
      <c r="H178" s="124">
        <f t="shared" si="59"/>
        <v>202831</v>
      </c>
      <c r="I178" s="124">
        <f t="shared" si="59"/>
        <v>224444</v>
      </c>
      <c r="J178" s="124">
        <f t="shared" si="59"/>
        <v>236688</v>
      </c>
      <c r="K178" s="124">
        <f t="shared" si="59"/>
        <v>198656</v>
      </c>
      <c r="L178" s="124">
        <f t="shared" si="59"/>
        <v>196489</v>
      </c>
      <c r="M178" s="124">
        <f t="shared" si="59"/>
        <v>198197</v>
      </c>
      <c r="N178" s="124">
        <f t="shared" si="59"/>
        <v>207634</v>
      </c>
      <c r="O178" s="124">
        <f>SUM(O175+O177)</f>
        <v>203956.5</v>
      </c>
      <c r="P178" s="645">
        <f>SUM(P175+P177)</f>
        <v>2447478</v>
      </c>
      <c r="Q178" s="1005"/>
      <c r="R178" s="131"/>
      <c r="S178" s="131"/>
      <c r="T178" s="131"/>
      <c r="U178" s="131"/>
      <c r="V178" s="131"/>
      <c r="W178" s="131"/>
      <c r="X178" s="131"/>
      <c r="Y178" s="131"/>
      <c r="Z178" s="131"/>
    </row>
    <row r="179" spans="1:26" ht="15.6" hidden="1" customHeight="1">
      <c r="A179" s="131"/>
      <c r="B179" s="131"/>
      <c r="C179" s="524"/>
      <c r="D179" s="524"/>
      <c r="E179" s="524"/>
      <c r="F179" s="524"/>
      <c r="G179" s="524"/>
      <c r="H179" s="524"/>
      <c r="I179" s="524"/>
      <c r="J179" s="524"/>
      <c r="K179" s="524"/>
      <c r="L179" s="524"/>
      <c r="M179" s="524"/>
      <c r="N179" s="524"/>
      <c r="O179" s="131"/>
      <c r="P179" s="131"/>
      <c r="Q179" s="131"/>
      <c r="R179" s="131"/>
      <c r="S179" s="131"/>
      <c r="T179" s="131"/>
      <c r="U179" s="131"/>
      <c r="V179" s="131"/>
      <c r="W179" s="131"/>
      <c r="X179" s="131"/>
      <c r="Y179" s="131"/>
      <c r="Z179" s="131"/>
    </row>
    <row r="180" spans="1:26" ht="15.6" hidden="1" customHeight="1">
      <c r="A180" s="143" t="s">
        <v>571</v>
      </c>
      <c r="B180" s="126"/>
      <c r="C180" s="129"/>
      <c r="D180" s="129"/>
      <c r="E180" s="129"/>
      <c r="F180" s="129"/>
      <c r="G180" s="129"/>
      <c r="H180" s="129"/>
      <c r="I180" s="129"/>
      <c r="J180" s="129"/>
      <c r="K180" s="129"/>
      <c r="L180" s="129"/>
      <c r="M180" s="129"/>
      <c r="N180" s="129"/>
      <c r="O180" s="144"/>
      <c r="P180" s="145"/>
      <c r="Q180" s="374"/>
      <c r="R180" s="374"/>
      <c r="S180" s="374"/>
      <c r="T180" s="374"/>
      <c r="U180" s="374"/>
      <c r="V180" s="374"/>
      <c r="W180" s="374"/>
      <c r="X180" s="374"/>
      <c r="Y180" s="374"/>
      <c r="Z180" s="374"/>
    </row>
    <row r="181" spans="1:26" ht="15.6" hidden="1" customHeight="1">
      <c r="A181" s="146" t="s">
        <v>224</v>
      </c>
      <c r="B181" s="129"/>
      <c r="C181" s="144">
        <f>SUM(C175/C163-1)</f>
        <v>-8.7596746687655824E-2</v>
      </c>
      <c r="D181" s="144">
        <f t="shared" ref="D181:O181" si="60">SUM(D175/D163-1)</f>
        <v>-0.17155799127614357</v>
      </c>
      <c r="E181" s="144">
        <f t="shared" si="60"/>
        <v>-1.6539217828271835E-2</v>
      </c>
      <c r="F181" s="144">
        <f t="shared" si="60"/>
        <v>0.16432779589875857</v>
      </c>
      <c r="G181" s="144">
        <f t="shared" si="60"/>
        <v>0.1410945710349536</v>
      </c>
      <c r="H181" s="144">
        <f t="shared" si="60"/>
        <v>6.9008796511690784E-2</v>
      </c>
      <c r="I181" s="144">
        <f t="shared" si="60"/>
        <v>5.2664322957813203E-2</v>
      </c>
      <c r="J181" s="144">
        <f t="shared" si="60"/>
        <v>8.5374525177298377E-2</v>
      </c>
      <c r="K181" s="144">
        <f t="shared" si="60"/>
        <v>9.6991327396591442E-2</v>
      </c>
      <c r="L181" s="144">
        <f t="shared" si="60"/>
        <v>3.7059947041715446E-2</v>
      </c>
      <c r="M181" s="144">
        <f t="shared" si="60"/>
        <v>7.5362448942950744E-2</v>
      </c>
      <c r="N181" s="144">
        <f t="shared" si="60"/>
        <v>0.10662682744637708</v>
      </c>
      <c r="O181" s="128">
        <f t="shared" si="60"/>
        <v>4.4750837360333362E-2</v>
      </c>
      <c r="P181" s="460">
        <f>SUM(P175/P163-1)</f>
        <v>4.4750837360333362E-2</v>
      </c>
      <c r="Q181" s="1817"/>
      <c r="R181" s="374"/>
      <c r="S181" s="374"/>
      <c r="T181" s="374"/>
      <c r="U181" s="374"/>
      <c r="V181" s="374"/>
      <c r="W181" s="374"/>
      <c r="X181" s="374"/>
      <c r="Y181" s="374"/>
      <c r="Z181" s="374"/>
    </row>
    <row r="182" spans="1:26" ht="15.6" hidden="1" customHeight="1">
      <c r="A182" s="146" t="s">
        <v>225</v>
      </c>
      <c r="B182" s="129"/>
      <c r="C182" s="144">
        <f>SUM(C177/C165-1)</f>
        <v>3.3042225623480581E-2</v>
      </c>
      <c r="D182" s="144">
        <f t="shared" ref="D182:O183" si="61">SUM(D177/D165-1)</f>
        <v>-6.9216011324901738E-2</v>
      </c>
      <c r="E182" s="144">
        <f t="shared" si="61"/>
        <v>1.2615198025298646E-2</v>
      </c>
      <c r="F182" s="144">
        <f t="shared" si="61"/>
        <v>6.7703687370330723E-2</v>
      </c>
      <c r="G182" s="144">
        <f t="shared" si="61"/>
        <v>5.6796580239884875E-2</v>
      </c>
      <c r="H182" s="144">
        <f t="shared" si="61"/>
        <v>-1.7936373076560042E-2</v>
      </c>
      <c r="I182" s="144">
        <f t="shared" si="61"/>
        <v>2.0126036599089403E-2</v>
      </c>
      <c r="J182" s="144">
        <f t="shared" si="61"/>
        <v>3.4512022630834416E-2</v>
      </c>
      <c r="K182" s="144">
        <f t="shared" si="61"/>
        <v>-1.194626548940847E-2</v>
      </c>
      <c r="L182" s="144">
        <f t="shared" si="61"/>
        <v>-0.10181015609704003</v>
      </c>
      <c r="M182" s="144">
        <f t="shared" si="61"/>
        <v>-6.7654586357964508E-2</v>
      </c>
      <c r="N182" s="144">
        <f t="shared" si="61"/>
        <v>-4.3591088534908784E-2</v>
      </c>
      <c r="O182" s="128">
        <f t="shared" si="61"/>
        <v>-7.6586200017968453E-3</v>
      </c>
      <c r="P182" s="461">
        <f>SUM(P177/P165-1)</f>
        <v>-7.6586200017968453E-3</v>
      </c>
      <c r="Q182" s="374"/>
      <c r="R182" s="374"/>
      <c r="S182" s="374"/>
      <c r="T182" s="374"/>
      <c r="U182" s="374"/>
      <c r="V182" s="374"/>
      <c r="W182" s="374"/>
      <c r="X182" s="374"/>
      <c r="Y182" s="374"/>
      <c r="Z182" s="374"/>
    </row>
    <row r="183" spans="1:26" ht="15.6" hidden="1" customHeight="1" thickBot="1">
      <c r="A183" s="147" t="s">
        <v>151</v>
      </c>
      <c r="B183" s="357"/>
      <c r="C183" s="148">
        <f>SUM(C178/C166-1)</f>
        <v>-2.1442042795216887E-2</v>
      </c>
      <c r="D183" s="148">
        <f t="shared" ref="D183:N183" si="62">SUM(D178/D166-1)</f>
        <v>-0.11571570859419467</v>
      </c>
      <c r="E183" s="148">
        <f t="shared" si="62"/>
        <v>-1.7735510806682342E-4</v>
      </c>
      <c r="F183" s="148">
        <f t="shared" si="62"/>
        <v>0.11043154004841482</v>
      </c>
      <c r="G183" s="148">
        <f t="shared" si="62"/>
        <v>9.4039513939759622E-2</v>
      </c>
      <c r="H183" s="148">
        <f t="shared" si="62"/>
        <v>2.257591264059533E-2</v>
      </c>
      <c r="I183" s="148">
        <f t="shared" si="62"/>
        <v>3.532515937376024E-2</v>
      </c>
      <c r="J183" s="148">
        <f t="shared" si="62"/>
        <v>5.8831423880610467E-2</v>
      </c>
      <c r="K183" s="148">
        <f t="shared" si="62"/>
        <v>3.6967438170106615E-2</v>
      </c>
      <c r="L183" s="148">
        <f t="shared" si="62"/>
        <v>-3.9239367476065157E-2</v>
      </c>
      <c r="M183" s="148">
        <f t="shared" si="62"/>
        <v>-3.5795263160540713E-3</v>
      </c>
      <c r="N183" s="148">
        <f t="shared" si="62"/>
        <v>2.5966132849752244E-2</v>
      </c>
      <c r="O183" s="148">
        <f t="shared" si="61"/>
        <v>1.6170859403868754E-2</v>
      </c>
      <c r="P183" s="713">
        <f>SUM(P178/P166-1)</f>
        <v>1.6170859403868754E-2</v>
      </c>
      <c r="Q183" s="374"/>
      <c r="R183" s="374"/>
      <c r="S183" s="374"/>
      <c r="T183" s="374"/>
      <c r="U183" s="374"/>
      <c r="V183" s="374"/>
      <c r="W183" s="374"/>
      <c r="X183" s="374"/>
      <c r="Y183" s="374"/>
      <c r="Z183" s="374"/>
    </row>
    <row r="184" spans="1:26" ht="15.6" hidden="1" customHeight="1" thickBot="1">
      <c r="A184" s="131"/>
      <c r="B184" s="524"/>
      <c r="C184" s="524"/>
      <c r="D184" s="524"/>
      <c r="E184" s="524"/>
      <c r="F184" s="524"/>
      <c r="G184" s="524"/>
      <c r="H184" s="524"/>
      <c r="I184" s="524"/>
      <c r="J184" s="524"/>
      <c r="K184" s="524"/>
      <c r="L184" s="524"/>
      <c r="M184" s="524"/>
      <c r="N184" s="524"/>
      <c r="O184" s="131"/>
      <c r="P184" s="131"/>
      <c r="Q184" s="1816"/>
      <c r="R184" s="131"/>
      <c r="S184" s="131"/>
      <c r="T184" s="131"/>
      <c r="U184" s="131"/>
      <c r="V184" s="131"/>
      <c r="W184" s="131"/>
      <c r="X184" s="131"/>
      <c r="Y184" s="131"/>
      <c r="Z184" s="131"/>
    </row>
    <row r="185" spans="1:26" hidden="1">
      <c r="A185" s="5451" t="s">
        <v>817</v>
      </c>
      <c r="B185" s="5452"/>
      <c r="C185" s="5452"/>
      <c r="D185" s="5452"/>
      <c r="E185" s="5452"/>
      <c r="F185" s="5452"/>
      <c r="G185" s="5452"/>
      <c r="H185" s="5452"/>
      <c r="I185" s="5452"/>
      <c r="J185" s="5452"/>
      <c r="K185" s="5452"/>
      <c r="L185" s="5452"/>
      <c r="M185" s="5452"/>
      <c r="N185" s="5452"/>
      <c r="O185" s="5454"/>
      <c r="P185" s="2202"/>
      <c r="Q185" s="131"/>
      <c r="R185" s="131"/>
      <c r="S185" s="131"/>
      <c r="T185" s="131"/>
      <c r="U185" s="131"/>
      <c r="V185" s="131"/>
      <c r="W185" s="131"/>
      <c r="X185" s="131"/>
      <c r="Y185" s="131"/>
      <c r="Z185" s="131"/>
    </row>
    <row r="186" spans="1:26" hidden="1">
      <c r="A186" s="135" t="s">
        <v>217</v>
      </c>
      <c r="B186" s="352"/>
      <c r="C186" s="117" t="s">
        <v>218</v>
      </c>
      <c r="D186" s="117" t="s">
        <v>207</v>
      </c>
      <c r="E186" s="117" t="s">
        <v>208</v>
      </c>
      <c r="F186" s="117" t="s">
        <v>219</v>
      </c>
      <c r="G186" s="117" t="s">
        <v>209</v>
      </c>
      <c r="H186" s="117" t="s">
        <v>210</v>
      </c>
      <c r="I186" s="117" t="s">
        <v>220</v>
      </c>
      <c r="J186" s="117" t="s">
        <v>221</v>
      </c>
      <c r="K186" s="117" t="s">
        <v>211</v>
      </c>
      <c r="L186" s="117" t="s">
        <v>212</v>
      </c>
      <c r="M186" s="117" t="s">
        <v>213</v>
      </c>
      <c r="N186" s="117" t="s">
        <v>222</v>
      </c>
      <c r="O186" s="117" t="s">
        <v>223</v>
      </c>
      <c r="P186" s="136" t="s">
        <v>151</v>
      </c>
      <c r="Q186" s="131"/>
      <c r="R186" s="131"/>
      <c r="S186" s="131"/>
      <c r="T186" s="131"/>
      <c r="U186" s="131"/>
      <c r="V186" s="131"/>
      <c r="W186" s="131"/>
      <c r="X186" s="131"/>
      <c r="Y186" s="131"/>
      <c r="Z186" s="131"/>
    </row>
    <row r="187" spans="1:26" hidden="1">
      <c r="A187" s="137" t="s">
        <v>224</v>
      </c>
      <c r="B187" s="353" t="s">
        <v>1133</v>
      </c>
      <c r="C187" s="120">
        <v>90295</v>
      </c>
      <c r="D187" s="120">
        <v>85295</v>
      </c>
      <c r="E187" s="120">
        <v>96143</v>
      </c>
      <c r="F187" s="120">
        <v>90323</v>
      </c>
      <c r="G187" s="120">
        <v>97512</v>
      </c>
      <c r="H187" s="120">
        <v>106342</v>
      </c>
      <c r="I187" s="120">
        <v>114980</v>
      </c>
      <c r="J187" s="120">
        <v>120495</v>
      </c>
      <c r="K187" s="120">
        <v>104128</v>
      </c>
      <c r="L187" s="120">
        <v>101002</v>
      </c>
      <c r="M187" s="120">
        <v>102203</v>
      </c>
      <c r="N187" s="120">
        <v>108479</v>
      </c>
      <c r="O187" s="60">
        <f>AVERAGEIF(C187:N187, "&lt;&gt;0")</f>
        <v>101433.08333333333</v>
      </c>
      <c r="P187" s="138">
        <f>SUM(C187:N187)</f>
        <v>1217197</v>
      </c>
      <c r="Q187" s="1005"/>
      <c r="R187" s="131"/>
      <c r="S187" s="1005"/>
      <c r="T187" s="131"/>
      <c r="U187" s="131"/>
      <c r="V187" s="131"/>
      <c r="W187" s="131"/>
      <c r="X187" s="131"/>
      <c r="Y187" s="131"/>
      <c r="Z187" s="131"/>
    </row>
    <row r="188" spans="1:26" hidden="1">
      <c r="A188" s="137" t="s">
        <v>231</v>
      </c>
      <c r="B188" s="353" t="s">
        <v>1133</v>
      </c>
      <c r="C188" s="120">
        <v>6833</v>
      </c>
      <c r="D188" s="120">
        <v>5621</v>
      </c>
      <c r="E188" s="120">
        <v>6993</v>
      </c>
      <c r="F188" s="120">
        <v>6802</v>
      </c>
      <c r="G188" s="120">
        <v>6570</v>
      </c>
      <c r="H188" s="120">
        <v>7751</v>
      </c>
      <c r="I188" s="120">
        <v>10119</v>
      </c>
      <c r="J188" s="120">
        <v>8318</v>
      </c>
      <c r="K188" s="120">
        <v>6192</v>
      </c>
      <c r="L188" s="120">
        <v>6621</v>
      </c>
      <c r="M188" s="120">
        <v>5537</v>
      </c>
      <c r="N188" s="120">
        <v>9289</v>
      </c>
      <c r="O188" s="60">
        <f>AVERAGEIF(C188:N188, "&lt;&gt;0")</f>
        <v>7220.5</v>
      </c>
      <c r="P188" s="138">
        <f>SUM(C188:N188)</f>
        <v>86646</v>
      </c>
      <c r="Q188" s="1005"/>
      <c r="R188" s="131"/>
      <c r="S188" s="1005"/>
      <c r="T188" s="131"/>
      <c r="U188" s="131"/>
      <c r="V188" s="131"/>
      <c r="W188" s="131"/>
      <c r="X188" s="131"/>
      <c r="Y188" s="131"/>
      <c r="Z188" s="131"/>
    </row>
    <row r="189" spans="1:26" ht="15" hidden="1" thickBot="1">
      <c r="A189" s="139" t="s">
        <v>847</v>
      </c>
      <c r="B189" s="354" t="s">
        <v>1133</v>
      </c>
      <c r="C189" s="122">
        <v>109076</v>
      </c>
      <c r="D189" s="122">
        <v>102625</v>
      </c>
      <c r="E189" s="122">
        <v>117488</v>
      </c>
      <c r="F189" s="122">
        <v>115321</v>
      </c>
      <c r="G189" s="122">
        <v>119411</v>
      </c>
      <c r="H189" s="122">
        <v>117791</v>
      </c>
      <c r="I189" s="122">
        <v>122909</v>
      </c>
      <c r="J189" s="122">
        <v>131271</v>
      </c>
      <c r="K189" s="122">
        <v>123118</v>
      </c>
      <c r="L189" s="122">
        <v>117449</v>
      </c>
      <c r="M189" s="122">
        <v>115572</v>
      </c>
      <c r="N189" s="122">
        <v>107076</v>
      </c>
      <c r="O189" s="60">
        <f>AVERAGEIF(C189:N189, "&lt;&gt;0")</f>
        <v>116592.25</v>
      </c>
      <c r="P189" s="138">
        <f>SUM(C189:N189)</f>
        <v>1399107</v>
      </c>
      <c r="Q189" s="1005"/>
      <c r="R189" s="131"/>
      <c r="S189" s="1005"/>
      <c r="T189" s="131"/>
      <c r="U189" s="131"/>
      <c r="V189" s="131"/>
      <c r="W189" s="131"/>
      <c r="X189" s="131"/>
      <c r="Y189" s="131"/>
      <c r="Z189" s="131"/>
    </row>
    <row r="190" spans="1:26" ht="15" hidden="1" thickBot="1">
      <c r="A190" s="123" t="s">
        <v>818</v>
      </c>
      <c r="B190" s="355"/>
      <c r="C190" s="124">
        <f t="shared" ref="C190:N190" si="63">SUM(C187+C189)</f>
        <v>199371</v>
      </c>
      <c r="D190" s="124">
        <f t="shared" si="63"/>
        <v>187920</v>
      </c>
      <c r="E190" s="124">
        <f t="shared" si="63"/>
        <v>213631</v>
      </c>
      <c r="F190" s="124">
        <f t="shared" si="63"/>
        <v>205644</v>
      </c>
      <c r="G190" s="124">
        <f t="shared" si="63"/>
        <v>216923</v>
      </c>
      <c r="H190" s="124">
        <f t="shared" si="63"/>
        <v>224133</v>
      </c>
      <c r="I190" s="124">
        <f t="shared" si="63"/>
        <v>237889</v>
      </c>
      <c r="J190" s="124">
        <f t="shared" si="63"/>
        <v>251766</v>
      </c>
      <c r="K190" s="124">
        <f>SUM(K187+K189)</f>
        <v>227246</v>
      </c>
      <c r="L190" s="124">
        <f t="shared" si="63"/>
        <v>218451</v>
      </c>
      <c r="M190" s="124">
        <f t="shared" si="63"/>
        <v>217775</v>
      </c>
      <c r="N190" s="124">
        <f t="shared" si="63"/>
        <v>215555</v>
      </c>
      <c r="O190" s="124">
        <f>SUM(O187+O189)</f>
        <v>218025.33333333331</v>
      </c>
      <c r="P190" s="645">
        <f>SUM(P187+P189)</f>
        <v>2616304</v>
      </c>
      <c r="Q190" s="1005"/>
      <c r="R190" s="131"/>
      <c r="S190" s="1005"/>
      <c r="T190" s="131"/>
      <c r="U190" s="131"/>
      <c r="V190" s="131"/>
      <c r="W190" s="131"/>
      <c r="X190" s="131"/>
      <c r="Y190" s="131"/>
      <c r="Z190" s="131"/>
    </row>
    <row r="191" spans="1:26" hidden="1">
      <c r="A191" s="714"/>
      <c r="B191" s="715"/>
      <c r="C191" s="2206"/>
      <c r="D191" s="2206"/>
      <c r="E191" s="2206"/>
      <c r="F191" s="2206"/>
      <c r="G191" s="2206"/>
      <c r="H191" s="2206"/>
      <c r="I191" s="2206"/>
      <c r="J191" s="2206"/>
      <c r="K191" s="2206"/>
      <c r="L191" s="2206"/>
      <c r="M191" s="2206"/>
      <c r="N191" s="2206"/>
      <c r="O191" s="2207"/>
      <c r="P191" s="2208"/>
      <c r="Q191" s="131"/>
      <c r="R191" s="131"/>
      <c r="S191" s="131"/>
      <c r="T191" s="131"/>
      <c r="U191" s="131"/>
      <c r="V191" s="131"/>
      <c r="W191" s="131"/>
      <c r="X191" s="131"/>
      <c r="Y191" s="131"/>
      <c r="Z191" s="131"/>
    </row>
    <row r="192" spans="1:26" hidden="1">
      <c r="A192" s="143" t="s">
        <v>819</v>
      </c>
      <c r="B192" s="126"/>
      <c r="C192" s="129"/>
      <c r="D192" s="129"/>
      <c r="E192" s="129"/>
      <c r="F192" s="129"/>
      <c r="G192" s="129"/>
      <c r="H192" s="129"/>
      <c r="I192" s="129"/>
      <c r="J192" s="129"/>
      <c r="K192" s="129"/>
      <c r="L192" s="129"/>
      <c r="M192" s="129"/>
      <c r="N192" s="129"/>
      <c r="O192" s="144"/>
      <c r="P192" s="145"/>
      <c r="Q192" s="131"/>
      <c r="R192" s="131"/>
      <c r="S192" s="131"/>
      <c r="T192" s="131"/>
      <c r="U192" s="131"/>
      <c r="V192" s="131"/>
      <c r="W192" s="131"/>
      <c r="X192" s="131"/>
      <c r="Y192" s="131"/>
      <c r="Z192" s="131"/>
    </row>
    <row r="193" spans="1:26" hidden="1">
      <c r="A193" s="146" t="s">
        <v>224</v>
      </c>
      <c r="B193" s="129"/>
      <c r="C193" s="722">
        <f>SUM(C187/C175-1)</f>
        <v>8.1856631082036335E-2</v>
      </c>
      <c r="D193" s="722">
        <f>IF(D187="","",SUM(D187/D175-1))</f>
        <v>0.15153028850697314</v>
      </c>
      <c r="E193" s="722">
        <f t="shared" ref="E193:N193" si="64">IF(E187="","",SUM(E187/E175-1))</f>
        <v>6.7947037522493536E-2</v>
      </c>
      <c r="F193" s="722">
        <f t="shared" si="64"/>
        <v>-1.9251650451702518E-2</v>
      </c>
      <c r="G193" s="722">
        <f t="shared" si="64"/>
        <v>4.1839394845933686E-2</v>
      </c>
      <c r="H193" s="722">
        <f t="shared" si="64"/>
        <v>7.6325138409530258E-2</v>
      </c>
      <c r="I193" s="722">
        <f t="shared" si="64"/>
        <v>7.8641988048444134E-2</v>
      </c>
      <c r="J193" s="722">
        <f t="shared" si="64"/>
        <v>3.8687320592722951E-2</v>
      </c>
      <c r="K193" s="722">
        <f t="shared" si="64"/>
        <v>0.10350674537149884</v>
      </c>
      <c r="L193" s="722">
        <f t="shared" si="64"/>
        <v>5.6915333340309626E-2</v>
      </c>
      <c r="M193" s="722">
        <f t="shared" si="64"/>
        <v>6.648092495199931E-2</v>
      </c>
      <c r="N193" s="722">
        <f t="shared" si="64"/>
        <v>4.6064685348402135E-2</v>
      </c>
      <c r="O193" s="722">
        <f>SUM(O187/O175-1)</f>
        <v>6.3876445986635888E-2</v>
      </c>
      <c r="P193" s="1781">
        <f>SUM(P187/P175-1)</f>
        <v>6.3876445986635888E-2</v>
      </c>
      <c r="Q193" s="131"/>
      <c r="R193" s="131"/>
      <c r="S193" s="131"/>
      <c r="T193" s="131"/>
      <c r="U193" s="131"/>
      <c r="V193" s="131"/>
      <c r="W193" s="131"/>
      <c r="X193" s="131"/>
      <c r="Y193" s="131"/>
      <c r="Z193" s="131"/>
    </row>
    <row r="194" spans="1:26" hidden="1">
      <c r="A194" s="146" t="s">
        <v>225</v>
      </c>
      <c r="B194" s="129"/>
      <c r="C194" s="722">
        <f>SUM(C189/C177-1)</f>
        <v>-4.9363778978560258E-2</v>
      </c>
      <c r="D194" s="722">
        <f>IF(D189="","",SUM(D189/D177-1))</f>
        <v>2.6845570430849897E-2</v>
      </c>
      <c r="E194" s="722">
        <f t="shared" ref="E194:N194" si="65">IF(E189="","",SUM(E189/E177-1))</f>
        <v>-9.0251185073971785E-3</v>
      </c>
      <c r="F194" s="722">
        <f t="shared" si="65"/>
        <v>8.2541679182937866E-2</v>
      </c>
      <c r="G194" s="722">
        <f t="shared" si="65"/>
        <v>9.0322227193454951E-2</v>
      </c>
      <c r="H194" s="722">
        <f t="shared" si="65"/>
        <v>0.13227915024512149</v>
      </c>
      <c r="I194" s="722">
        <f t="shared" si="65"/>
        <v>4.2953999677548094E-2</v>
      </c>
      <c r="J194" s="722">
        <f t="shared" si="65"/>
        <v>8.7752007358242068E-2</v>
      </c>
      <c r="K194" s="722">
        <f t="shared" si="65"/>
        <v>0.18047845054892364</v>
      </c>
      <c r="L194" s="722">
        <f t="shared" si="65"/>
        <v>0.16371400828329663</v>
      </c>
      <c r="M194" s="722">
        <f t="shared" si="65"/>
        <v>0.12901870756606271</v>
      </c>
      <c r="N194" s="722">
        <f t="shared" si="65"/>
        <v>3.0250548435515556E-2</v>
      </c>
      <c r="O194" s="722">
        <f>SUM(O189/O177-1)</f>
        <v>7.3459197476067661E-2</v>
      </c>
      <c r="P194" s="1782">
        <f>SUM(P189/P177-1)</f>
        <v>7.3459197476067661E-2</v>
      </c>
      <c r="Q194" s="131"/>
      <c r="R194" s="131"/>
      <c r="S194" s="131"/>
      <c r="T194" s="131"/>
      <c r="U194" s="131"/>
      <c r="V194" s="131"/>
      <c r="W194" s="131"/>
      <c r="X194" s="131"/>
      <c r="Y194" s="131"/>
      <c r="Z194" s="131"/>
    </row>
    <row r="195" spans="1:26" ht="15" hidden="1" thickBot="1">
      <c r="A195" s="147" t="s">
        <v>151</v>
      </c>
      <c r="B195" s="357"/>
      <c r="C195" s="723">
        <f>SUM(C190/C178-1)</f>
        <v>5.892948139029075E-3</v>
      </c>
      <c r="D195" s="723">
        <f>IF(D190="","",SUM(D190/D178-1))</f>
        <v>7.9919316372914606E-2</v>
      </c>
      <c r="E195" s="723">
        <f>SUM(E190/E178-1)</f>
        <v>2.4196486787097848E-2</v>
      </c>
      <c r="F195" s="723">
        <f t="shared" ref="F195:N195" si="66">IF(F190="","",SUM(F190/F178-1))</f>
        <v>3.5343160947317598E-2</v>
      </c>
      <c r="G195" s="723">
        <f t="shared" si="66"/>
        <v>6.7981192920266942E-2</v>
      </c>
      <c r="H195" s="723">
        <f t="shared" si="66"/>
        <v>0.10502339385991299</v>
      </c>
      <c r="I195" s="723">
        <f t="shared" si="66"/>
        <v>5.9903583967493068E-2</v>
      </c>
      <c r="J195" s="723">
        <f t="shared" si="66"/>
        <v>6.3704116812005607E-2</v>
      </c>
      <c r="K195" s="723">
        <f t="shared" si="66"/>
        <v>0.14391712306701021</v>
      </c>
      <c r="L195" s="723">
        <f t="shared" si="66"/>
        <v>0.11177216027360304</v>
      </c>
      <c r="M195" s="723">
        <f t="shared" si="66"/>
        <v>9.8780506263969725E-2</v>
      </c>
      <c r="N195" s="723">
        <f t="shared" si="66"/>
        <v>3.8148858086825888E-2</v>
      </c>
      <c r="O195" s="723">
        <f>SUM(O190/O178-1)</f>
        <v>6.8979578161683097E-2</v>
      </c>
      <c r="P195" s="713">
        <f>SUM(P190/P178-1)</f>
        <v>6.8979578161683097E-2</v>
      </c>
      <c r="Q195" s="131"/>
      <c r="R195" s="131"/>
      <c r="S195" s="131"/>
      <c r="T195" s="131"/>
      <c r="U195" s="131"/>
      <c r="V195" s="131"/>
      <c r="W195" s="131"/>
      <c r="X195" s="131"/>
      <c r="Y195" s="131"/>
      <c r="Z195" s="131"/>
    </row>
    <row r="196" spans="1:26" ht="15" hidden="1" thickBot="1">
      <c r="A196" s="710"/>
      <c r="B196" s="711"/>
      <c r="C196" s="711"/>
      <c r="D196" s="711"/>
      <c r="E196" s="711"/>
      <c r="F196" s="711"/>
      <c r="G196" s="711"/>
      <c r="H196" s="711"/>
      <c r="I196" s="711"/>
      <c r="J196" s="711"/>
      <c r="K196" s="711"/>
      <c r="L196" s="711"/>
      <c r="M196" s="711"/>
      <c r="N196" s="711"/>
      <c r="O196" s="711"/>
      <c r="P196" s="712"/>
      <c r="Q196" s="712"/>
      <c r="R196" s="712"/>
      <c r="S196" s="712"/>
      <c r="T196" s="712"/>
      <c r="U196" s="712"/>
      <c r="V196" s="712"/>
      <c r="W196" s="712"/>
      <c r="X196" s="712"/>
      <c r="Y196" s="712"/>
      <c r="Z196" s="712"/>
    </row>
    <row r="197" spans="1:26">
      <c r="A197" s="5451" t="s">
        <v>1088</v>
      </c>
      <c r="B197" s="5452"/>
      <c r="C197" s="5452"/>
      <c r="D197" s="5452"/>
      <c r="E197" s="5452"/>
      <c r="F197" s="5452"/>
      <c r="G197" s="5452"/>
      <c r="H197" s="5452"/>
      <c r="I197" s="5452"/>
      <c r="J197" s="5452"/>
      <c r="K197" s="5452"/>
      <c r="L197" s="5452"/>
      <c r="M197" s="5452"/>
      <c r="N197" s="5452"/>
      <c r="O197" s="5454"/>
      <c r="P197" s="2202"/>
      <c r="Q197" s="131"/>
      <c r="R197" s="131"/>
      <c r="S197" s="131"/>
      <c r="T197" s="131"/>
      <c r="U197" s="131"/>
      <c r="V197" s="131"/>
      <c r="W197" s="131"/>
      <c r="X197" s="131"/>
      <c r="Y197" s="131"/>
      <c r="Z197" s="131"/>
    </row>
    <row r="198" spans="1:26">
      <c r="A198" s="135" t="s">
        <v>217</v>
      </c>
      <c r="B198" s="352"/>
      <c r="C198" s="117" t="s">
        <v>218</v>
      </c>
      <c r="D198" s="117" t="s">
        <v>207</v>
      </c>
      <c r="E198" s="117" t="s">
        <v>208</v>
      </c>
      <c r="F198" s="117" t="s">
        <v>219</v>
      </c>
      <c r="G198" s="117" t="s">
        <v>209</v>
      </c>
      <c r="H198" s="117" t="s">
        <v>210</v>
      </c>
      <c r="I198" s="117" t="s">
        <v>220</v>
      </c>
      <c r="J198" s="117" t="s">
        <v>221</v>
      </c>
      <c r="K198" s="117" t="s">
        <v>211</v>
      </c>
      <c r="L198" s="117" t="s">
        <v>212</v>
      </c>
      <c r="M198" s="117" t="s">
        <v>213</v>
      </c>
      <c r="N198" s="117" t="s">
        <v>222</v>
      </c>
      <c r="O198" s="117" t="s">
        <v>223</v>
      </c>
      <c r="P198" s="136" t="s">
        <v>151</v>
      </c>
      <c r="Q198" s="131"/>
      <c r="R198" s="131"/>
      <c r="S198" s="131"/>
      <c r="T198" s="131"/>
      <c r="U198" s="131"/>
      <c r="V198" s="131"/>
      <c r="W198" s="131"/>
      <c r="X198" s="131"/>
      <c r="Y198" s="131"/>
      <c r="Z198" s="131"/>
    </row>
    <row r="199" spans="1:26">
      <c r="A199" s="137" t="s">
        <v>224</v>
      </c>
      <c r="B199" s="353" t="s">
        <v>1408</v>
      </c>
      <c r="C199" s="120">
        <v>93519</v>
      </c>
      <c r="D199" s="120">
        <v>84870</v>
      </c>
      <c r="E199" s="120">
        <v>94191</v>
      </c>
      <c r="F199" s="120">
        <v>91052</v>
      </c>
      <c r="G199" s="120">
        <v>93508</v>
      </c>
      <c r="H199" s="120">
        <v>103723</v>
      </c>
      <c r="I199" s="120">
        <v>113445</v>
      </c>
      <c r="J199" s="120">
        <v>121794</v>
      </c>
      <c r="K199" s="120">
        <v>102191</v>
      </c>
      <c r="L199" s="120">
        <v>80751</v>
      </c>
      <c r="M199" s="120">
        <v>93804</v>
      </c>
      <c r="N199" s="120">
        <v>108066</v>
      </c>
      <c r="O199" s="60">
        <f>AVERAGEIF(C199:N199, "&lt;&gt;0")</f>
        <v>98409.5</v>
      </c>
      <c r="P199" s="138">
        <f>SUM(C199:N199)</f>
        <v>1180914</v>
      </c>
      <c r="Q199" s="131"/>
      <c r="R199" s="131"/>
      <c r="S199" s="131"/>
      <c r="T199" s="131"/>
      <c r="U199" s="131"/>
      <c r="V199" s="131"/>
      <c r="W199" s="131"/>
      <c r="X199" s="131"/>
      <c r="Y199" s="131"/>
      <c r="Z199" s="131"/>
    </row>
    <row r="200" spans="1:26">
      <c r="A200" s="137" t="s">
        <v>231</v>
      </c>
      <c r="B200" s="353" t="s">
        <v>1408</v>
      </c>
      <c r="C200" s="120">
        <v>6785</v>
      </c>
      <c r="D200" s="120">
        <v>5102</v>
      </c>
      <c r="E200" s="120">
        <v>5624</v>
      </c>
      <c r="F200" s="120">
        <v>5750</v>
      </c>
      <c r="G200" s="120">
        <v>5513</v>
      </c>
      <c r="H200" s="120">
        <v>8033</v>
      </c>
      <c r="I200" s="120">
        <v>8129</v>
      </c>
      <c r="J200" s="120">
        <v>7358</v>
      </c>
      <c r="K200" s="120">
        <v>6580</v>
      </c>
      <c r="L200" s="120">
        <v>5849</v>
      </c>
      <c r="M200" s="120">
        <v>6262</v>
      </c>
      <c r="N200" s="120">
        <v>9383</v>
      </c>
      <c r="O200" s="60">
        <f>AVERAGEIF(C200:N200, "&lt;&gt;0")</f>
        <v>6697.333333333333</v>
      </c>
      <c r="P200" s="138">
        <f>SUM(C200:N200)</f>
        <v>80368</v>
      </c>
      <c r="Q200" s="131"/>
      <c r="R200" s="131"/>
      <c r="S200" s="131"/>
      <c r="T200" s="131"/>
      <c r="U200" s="131"/>
      <c r="V200" s="131"/>
      <c r="W200" s="131"/>
      <c r="X200" s="131"/>
      <c r="Y200" s="131"/>
      <c r="Z200" s="131"/>
    </row>
    <row r="201" spans="1:26" ht="15" thickBot="1">
      <c r="A201" s="139" t="s">
        <v>240</v>
      </c>
      <c r="B201" s="354" t="s">
        <v>1408</v>
      </c>
      <c r="C201" s="122">
        <v>117380</v>
      </c>
      <c r="D201" s="122">
        <v>104892</v>
      </c>
      <c r="E201" s="122">
        <v>115676</v>
      </c>
      <c r="F201" s="122">
        <v>110792</v>
      </c>
      <c r="G201" s="122">
        <v>110262</v>
      </c>
      <c r="H201" s="122">
        <v>109741</v>
      </c>
      <c r="I201" s="122">
        <v>117354</v>
      </c>
      <c r="J201" s="122">
        <v>120253</v>
      </c>
      <c r="K201" s="122">
        <v>104782</v>
      </c>
      <c r="L201" s="122">
        <v>97917</v>
      </c>
      <c r="M201" s="122">
        <v>108502</v>
      </c>
      <c r="N201" s="122">
        <v>104324</v>
      </c>
      <c r="O201" s="60">
        <f>AVERAGEIF(C201:N201, "&lt;&gt;0")</f>
        <v>110156.25</v>
      </c>
      <c r="P201" s="138">
        <f>SUM(C201:N201)</f>
        <v>1321875</v>
      </c>
      <c r="Q201" s="131"/>
      <c r="R201" s="131"/>
      <c r="S201" s="131"/>
      <c r="T201" s="131"/>
      <c r="U201" s="131"/>
      <c r="V201" s="131"/>
      <c r="W201" s="131"/>
      <c r="X201" s="131"/>
      <c r="Y201" s="131"/>
      <c r="Z201" s="131"/>
    </row>
    <row r="202" spans="1:26" ht="15" thickBot="1">
      <c r="A202" s="123" t="s">
        <v>1089</v>
      </c>
      <c r="B202" s="355"/>
      <c r="C202" s="124">
        <f>SUM(C199+C201)</f>
        <v>210899</v>
      </c>
      <c r="D202" s="124">
        <f t="shared" ref="D202:J202" si="67">SUM(D199+D201)</f>
        <v>189762</v>
      </c>
      <c r="E202" s="124">
        <f t="shared" si="67"/>
        <v>209867</v>
      </c>
      <c r="F202" s="124">
        <f t="shared" si="67"/>
        <v>201844</v>
      </c>
      <c r="G202" s="124">
        <f t="shared" si="67"/>
        <v>203770</v>
      </c>
      <c r="H202" s="124">
        <f t="shared" si="67"/>
        <v>213464</v>
      </c>
      <c r="I202" s="124">
        <f t="shared" si="67"/>
        <v>230799</v>
      </c>
      <c r="J202" s="124">
        <f t="shared" si="67"/>
        <v>242047</v>
      </c>
      <c r="K202" s="124">
        <f>SUM(K199+K201)</f>
        <v>206973</v>
      </c>
      <c r="L202" s="124">
        <f>SUM(L199+L201)</f>
        <v>178668</v>
      </c>
      <c r="M202" s="124">
        <f>IF(M199="","",SUM(M199+M201))</f>
        <v>202306</v>
      </c>
      <c r="N202" s="124">
        <f>IF(N199="","",SUM(N199+N201))</f>
        <v>212390</v>
      </c>
      <c r="O202" s="124">
        <f>SUM(O199+O201)</f>
        <v>208565.75</v>
      </c>
      <c r="P202" s="645">
        <f>SUM(P199+P201)</f>
        <v>2502789</v>
      </c>
      <c r="Q202" s="131"/>
      <c r="R202" s="131"/>
      <c r="S202" s="131"/>
      <c r="T202" s="131"/>
      <c r="U202" s="131"/>
      <c r="V202" s="131"/>
      <c r="W202" s="131"/>
      <c r="X202" s="131"/>
      <c r="Y202" s="131"/>
      <c r="Z202" s="131"/>
    </row>
    <row r="203" spans="1:26">
      <c r="A203" s="2203"/>
      <c r="B203" s="2113"/>
      <c r="C203" s="2114"/>
      <c r="D203" s="2114"/>
      <c r="E203" s="2114"/>
      <c r="F203" s="2114"/>
      <c r="G203" s="2114"/>
      <c r="H203" s="2114"/>
      <c r="I203" s="2114"/>
      <c r="J203" s="2114"/>
      <c r="K203" s="2114"/>
      <c r="L203" s="2114"/>
      <c r="M203" s="2114"/>
      <c r="N203" s="2114"/>
      <c r="O203" s="2114"/>
      <c r="P203" s="2204"/>
      <c r="Q203" s="131"/>
      <c r="R203" s="131"/>
      <c r="S203" s="131"/>
      <c r="T203" s="131"/>
      <c r="U203" s="131"/>
      <c r="V203" s="131"/>
      <c r="W203" s="131"/>
      <c r="X203" s="131"/>
      <c r="Y203" s="131"/>
      <c r="Z203" s="131"/>
    </row>
    <row r="204" spans="1:26">
      <c r="A204" s="143" t="s">
        <v>1090</v>
      </c>
      <c r="B204" s="126"/>
      <c r="C204" s="129"/>
      <c r="D204" s="129"/>
      <c r="E204" s="129"/>
      <c r="F204" s="129"/>
      <c r="G204" s="129"/>
      <c r="H204" s="129"/>
      <c r="I204" s="129"/>
      <c r="J204" s="129"/>
      <c r="K204" s="129"/>
      <c r="L204" s="129"/>
      <c r="M204" s="129"/>
      <c r="N204" s="129"/>
      <c r="O204" s="144"/>
      <c r="P204" s="2205"/>
      <c r="Q204" s="131"/>
      <c r="R204" s="131"/>
      <c r="S204" s="131"/>
      <c r="T204" s="131"/>
      <c r="U204" s="131"/>
      <c r="V204" s="131"/>
      <c r="W204" s="131"/>
      <c r="X204" s="131"/>
      <c r="Y204" s="131"/>
      <c r="Z204" s="131"/>
    </row>
    <row r="205" spans="1:26">
      <c r="A205" s="146" t="s">
        <v>224</v>
      </c>
      <c r="B205" s="129"/>
      <c r="C205" s="722">
        <f t="shared" ref="C205:K205" si="68">SUM(C199/C187-1)</f>
        <v>3.5705188548646127E-2</v>
      </c>
      <c r="D205" s="722">
        <f t="shared" si="68"/>
        <v>-4.982707075444015E-3</v>
      </c>
      <c r="E205" s="722">
        <f t="shared" si="68"/>
        <v>-2.0303090188573236E-2</v>
      </c>
      <c r="F205" s="722">
        <f t="shared" si="68"/>
        <v>8.0710339559137978E-3</v>
      </c>
      <c r="G205" s="722">
        <f t="shared" si="68"/>
        <v>-4.1061612929690683E-2</v>
      </c>
      <c r="H205" s="722">
        <f t="shared" si="68"/>
        <v>-2.4628086739011845E-2</v>
      </c>
      <c r="I205" s="722">
        <f t="shared" si="68"/>
        <v>-1.3350147851800331E-2</v>
      </c>
      <c r="J205" s="722">
        <f t="shared" si="68"/>
        <v>1.0780530312461067E-2</v>
      </c>
      <c r="K205" s="722">
        <f t="shared" si="68"/>
        <v>-1.8602105101413691E-2</v>
      </c>
      <c r="L205" s="722">
        <f>SUM(L199/L187-1)</f>
        <v>-0.20050098017861029</v>
      </c>
      <c r="M205" s="722">
        <f>SUM(M199/M187-1)</f>
        <v>-8.2179583769556697E-2</v>
      </c>
      <c r="N205" s="722">
        <f>SUM(N199/N187-1)</f>
        <v>-3.8071884880944706E-3</v>
      </c>
      <c r="O205" s="722">
        <f>SUM(O199/O187-1)</f>
        <v>-2.9808650530686487E-2</v>
      </c>
      <c r="P205" s="1781">
        <f>SUM(P199/P187-1)</f>
        <v>-2.9808650530686487E-2</v>
      </c>
      <c r="Q205" s="131"/>
      <c r="R205" s="131"/>
      <c r="S205" s="131"/>
      <c r="T205" s="131"/>
      <c r="U205" s="131"/>
      <c r="V205" s="131"/>
      <c r="W205" s="131"/>
      <c r="X205" s="131"/>
      <c r="Y205" s="131"/>
      <c r="Z205" s="131"/>
    </row>
    <row r="206" spans="1:26">
      <c r="A206" s="146" t="s">
        <v>225</v>
      </c>
      <c r="B206" s="129"/>
      <c r="C206" s="722">
        <f t="shared" ref="C206:K206" si="69">SUM(C201/C189-1)</f>
        <v>7.6130404488613523E-2</v>
      </c>
      <c r="D206" s="722">
        <f t="shared" si="69"/>
        <v>2.2090133982947568E-2</v>
      </c>
      <c r="E206" s="722">
        <f t="shared" si="69"/>
        <v>-1.542285169549229E-2</v>
      </c>
      <c r="F206" s="722">
        <f t="shared" si="69"/>
        <v>-3.9272985839526209E-2</v>
      </c>
      <c r="G206" s="722">
        <f t="shared" si="69"/>
        <v>-7.6617732034737207E-2</v>
      </c>
      <c r="H206" s="722">
        <f t="shared" si="69"/>
        <v>-6.8341384316289E-2</v>
      </c>
      <c r="I206" s="722">
        <f t="shared" si="69"/>
        <v>-4.5196039346182992E-2</v>
      </c>
      <c r="J206" s="722">
        <f t="shared" si="69"/>
        <v>-8.3933237348690848E-2</v>
      </c>
      <c r="K206" s="722">
        <f t="shared" si="69"/>
        <v>-0.14893029451420592</v>
      </c>
      <c r="L206" s="722">
        <f t="shared" ref="L206:P207" si="70">SUM(L201/L189-1)</f>
        <v>-0.16630196936542674</v>
      </c>
      <c r="M206" s="722">
        <f t="shared" si="70"/>
        <v>-6.117398677880459E-2</v>
      </c>
      <c r="N206" s="722">
        <f t="shared" si="70"/>
        <v>-2.5701370988830408E-2</v>
      </c>
      <c r="O206" s="722">
        <f t="shared" si="70"/>
        <v>-5.5200924589756228E-2</v>
      </c>
      <c r="P206" s="1782">
        <f t="shared" si="70"/>
        <v>-5.5200924589756228E-2</v>
      </c>
      <c r="Q206" s="131"/>
      <c r="R206" s="131"/>
      <c r="S206" s="131"/>
      <c r="T206" s="131"/>
      <c r="U206" s="131"/>
      <c r="V206" s="131"/>
      <c r="W206" s="131"/>
      <c r="X206" s="131"/>
      <c r="Y206" s="131"/>
      <c r="Z206" s="131"/>
    </row>
    <row r="207" spans="1:26" ht="15" thickBot="1">
      <c r="A207" s="147" t="s">
        <v>151</v>
      </c>
      <c r="B207" s="357"/>
      <c r="C207" s="723">
        <f t="shared" ref="C207:K207" si="71">SUM(C202/C190-1)</f>
        <v>5.782184971736104E-2</v>
      </c>
      <c r="D207" s="723">
        <f t="shared" si="71"/>
        <v>9.8020434227330533E-3</v>
      </c>
      <c r="E207" s="723">
        <f t="shared" si="71"/>
        <v>-1.7619165757778554E-2</v>
      </c>
      <c r="F207" s="723">
        <f t="shared" si="71"/>
        <v>-1.8478535721927258E-2</v>
      </c>
      <c r="G207" s="723">
        <f t="shared" si="71"/>
        <v>-6.0634418664687439E-2</v>
      </c>
      <c r="H207" s="723">
        <f t="shared" si="71"/>
        <v>-4.7601201072577481E-2</v>
      </c>
      <c r="I207" s="723">
        <f t="shared" si="71"/>
        <v>-2.9803816065475885E-2</v>
      </c>
      <c r="J207" s="723">
        <f t="shared" si="71"/>
        <v>-3.8603306244687552E-2</v>
      </c>
      <c r="K207" s="723">
        <f t="shared" si="71"/>
        <v>-8.9211691294896256E-2</v>
      </c>
      <c r="L207" s="723">
        <f t="shared" si="70"/>
        <v>-0.18211406677012232</v>
      </c>
      <c r="M207" s="723">
        <f t="shared" si="70"/>
        <v>-7.1032028469750874E-2</v>
      </c>
      <c r="N207" s="723">
        <f t="shared" si="70"/>
        <v>-1.4683027533576087E-2</v>
      </c>
      <c r="O207" s="723">
        <f t="shared" si="70"/>
        <v>-4.3387542120487455E-2</v>
      </c>
      <c r="P207" s="713">
        <f t="shared" si="70"/>
        <v>-4.3387542120487566E-2</v>
      </c>
      <c r="Q207" s="131"/>
      <c r="R207" s="131"/>
      <c r="S207" s="131"/>
      <c r="T207" s="131"/>
      <c r="U207" s="131"/>
      <c r="V207" s="131"/>
      <c r="W207" s="131"/>
      <c r="X207" s="131"/>
      <c r="Y207" s="131"/>
      <c r="Z207" s="131"/>
    </row>
    <row r="208" spans="1:26" ht="15" thickBot="1">
      <c r="A208" s="2113"/>
      <c r="B208" s="2113"/>
      <c r="C208" s="2114"/>
      <c r="D208" s="2114"/>
      <c r="E208" s="2114"/>
      <c r="F208" s="2114"/>
      <c r="G208" s="2114"/>
      <c r="H208" s="2114"/>
      <c r="I208" s="2114"/>
      <c r="J208" s="2114"/>
      <c r="K208" s="2114"/>
      <c r="L208" s="2114"/>
      <c r="M208" s="2114"/>
      <c r="N208" s="2114"/>
      <c r="O208" s="2114"/>
      <c r="P208" s="2115"/>
      <c r="Q208" s="131"/>
      <c r="R208" s="131"/>
      <c r="S208" s="131"/>
      <c r="T208" s="131"/>
      <c r="U208" s="131"/>
      <c r="V208" s="131"/>
      <c r="W208" s="131"/>
      <c r="X208" s="131"/>
      <c r="Y208" s="131"/>
      <c r="Z208" s="131"/>
    </row>
    <row r="209" spans="1:26">
      <c r="A209" s="5451" t="s">
        <v>1379</v>
      </c>
      <c r="B209" s="5452"/>
      <c r="C209" s="5452"/>
      <c r="D209" s="5452"/>
      <c r="E209" s="5452"/>
      <c r="F209" s="5452"/>
      <c r="G209" s="5452"/>
      <c r="H209" s="5452"/>
      <c r="I209" s="5452"/>
      <c r="J209" s="5452"/>
      <c r="K209" s="5452"/>
      <c r="L209" s="5452"/>
      <c r="M209" s="5452"/>
      <c r="N209" s="5452"/>
      <c r="O209" s="5454"/>
      <c r="P209" s="2202"/>
      <c r="Q209" s="131"/>
      <c r="R209" s="131"/>
      <c r="S209" s="131"/>
      <c r="T209" s="131"/>
      <c r="U209" s="131"/>
      <c r="V209" s="131"/>
      <c r="W209" s="131"/>
      <c r="X209" s="131"/>
      <c r="Y209" s="131"/>
      <c r="Z209" s="131"/>
    </row>
    <row r="210" spans="1:26">
      <c r="A210" s="135" t="s">
        <v>217</v>
      </c>
      <c r="B210" s="352"/>
      <c r="C210" s="117" t="s">
        <v>218</v>
      </c>
      <c r="D210" s="117" t="s">
        <v>207</v>
      </c>
      <c r="E210" s="117" t="s">
        <v>208</v>
      </c>
      <c r="F210" s="117" t="s">
        <v>219</v>
      </c>
      <c r="G210" s="117" t="s">
        <v>209</v>
      </c>
      <c r="H210" s="117" t="s">
        <v>210</v>
      </c>
      <c r="I210" s="117" t="s">
        <v>220</v>
      </c>
      <c r="J210" s="117" t="s">
        <v>221</v>
      </c>
      <c r="K210" s="117" t="s">
        <v>211</v>
      </c>
      <c r="L210" s="117" t="s">
        <v>212</v>
      </c>
      <c r="M210" s="117" t="s">
        <v>213</v>
      </c>
      <c r="N210" s="117" t="s">
        <v>222</v>
      </c>
      <c r="O210" s="117" t="s">
        <v>223</v>
      </c>
      <c r="P210" s="136" t="s">
        <v>151</v>
      </c>
      <c r="Q210" s="131"/>
      <c r="R210" s="131"/>
      <c r="S210" s="131"/>
      <c r="T210" s="131"/>
      <c r="U210" s="131"/>
      <c r="V210" s="131"/>
      <c r="W210" s="131"/>
      <c r="X210" s="131"/>
      <c r="Y210" s="131"/>
      <c r="Z210" s="131"/>
    </row>
    <row r="211" spans="1:26">
      <c r="A211" s="137" t="s">
        <v>224</v>
      </c>
      <c r="B211" s="353" t="s">
        <v>1559</v>
      </c>
      <c r="C211" s="120">
        <v>92943</v>
      </c>
      <c r="D211" s="120">
        <v>89117</v>
      </c>
      <c r="E211" s="120">
        <v>44707</v>
      </c>
      <c r="F211" s="120">
        <v>2152</v>
      </c>
      <c r="G211" s="120">
        <v>3459</v>
      </c>
      <c r="H211" s="120">
        <v>3682</v>
      </c>
      <c r="I211" s="120">
        <v>8215</v>
      </c>
      <c r="J211" s="120">
        <v>8865</v>
      </c>
      <c r="K211" s="120">
        <v>11114</v>
      </c>
      <c r="L211" s="120">
        <v>16888</v>
      </c>
      <c r="M211" s="120">
        <v>24698</v>
      </c>
      <c r="N211" s="120">
        <v>38699</v>
      </c>
      <c r="O211" s="60">
        <f>AVERAGEIF(C211:N211, "&lt;&gt;0")</f>
        <v>28711.583333333332</v>
      </c>
      <c r="P211" s="138">
        <f>SUM(C211:N211)</f>
        <v>344539</v>
      </c>
      <c r="Q211" s="131"/>
      <c r="R211" s="131"/>
      <c r="S211" s="131"/>
      <c r="T211" s="131"/>
      <c r="U211" s="131"/>
      <c r="V211" s="131"/>
      <c r="W211" s="131"/>
      <c r="X211" s="131"/>
      <c r="Y211" s="131"/>
      <c r="Z211" s="131"/>
    </row>
    <row r="212" spans="1:26">
      <c r="A212" s="137" t="s">
        <v>231</v>
      </c>
      <c r="B212" s="353" t="str">
        <f>B211</f>
        <v>ajustado el 21JULIO2021</v>
      </c>
      <c r="C212" s="120">
        <v>5885</v>
      </c>
      <c r="D212" s="120">
        <v>6229</v>
      </c>
      <c r="E212" s="120">
        <v>2929</v>
      </c>
      <c r="F212" s="120">
        <v>368</v>
      </c>
      <c r="G212" s="120">
        <v>0</v>
      </c>
      <c r="H212" s="120">
        <v>0</v>
      </c>
      <c r="I212" s="120">
        <v>549</v>
      </c>
      <c r="J212" s="120">
        <v>2026</v>
      </c>
      <c r="K212" s="120">
        <v>2306</v>
      </c>
      <c r="L212" s="120">
        <v>2282</v>
      </c>
      <c r="M212" s="120">
        <v>2790</v>
      </c>
      <c r="N212" s="120">
        <v>4894</v>
      </c>
      <c r="O212" s="60">
        <f>AVERAGEIF(C212:N212, "&lt;&gt;0")</f>
        <v>3025.8</v>
      </c>
      <c r="P212" s="138">
        <f>SUM(C212:N212)</f>
        <v>30258</v>
      </c>
      <c r="Q212" s="131"/>
      <c r="R212" s="131"/>
      <c r="S212" s="131"/>
      <c r="T212" s="131"/>
      <c r="U212" s="131"/>
      <c r="V212" s="131"/>
      <c r="W212" s="131"/>
      <c r="X212" s="131"/>
      <c r="Y212" s="131"/>
      <c r="Z212" s="131"/>
    </row>
    <row r="213" spans="1:26" ht="15" thickBot="1">
      <c r="A213" s="139" t="s">
        <v>240</v>
      </c>
      <c r="B213" s="354" t="str">
        <f>B212</f>
        <v>ajustado el 21JULIO2021</v>
      </c>
      <c r="C213" s="122">
        <v>109314</v>
      </c>
      <c r="D213" s="122">
        <v>106949</v>
      </c>
      <c r="E213" s="122">
        <v>50067</v>
      </c>
      <c r="F213" s="122">
        <v>1133</v>
      </c>
      <c r="G213" s="122">
        <v>2062</v>
      </c>
      <c r="H213" s="122">
        <v>5984</v>
      </c>
      <c r="I213" s="122">
        <v>10005</v>
      </c>
      <c r="J213" s="122">
        <v>11008</v>
      </c>
      <c r="K213" s="122">
        <v>17066</v>
      </c>
      <c r="L213" s="122">
        <v>26468</v>
      </c>
      <c r="M213" s="122">
        <v>27481</v>
      </c>
      <c r="N213" s="122">
        <v>36220</v>
      </c>
      <c r="O213" s="60">
        <f>AVERAGEIF(C213:N213, "&lt;&gt;0")</f>
        <v>33646.416666666664</v>
      </c>
      <c r="P213" s="138">
        <f>SUM(C213:N213)</f>
        <v>403757</v>
      </c>
      <c r="Q213" s="131"/>
      <c r="R213" s="131"/>
      <c r="S213" s="131"/>
      <c r="T213" s="131"/>
      <c r="U213" s="131"/>
      <c r="V213" s="131"/>
      <c r="W213" s="131"/>
      <c r="X213" s="131"/>
      <c r="Y213" s="131"/>
      <c r="Z213" s="131"/>
    </row>
    <row r="214" spans="1:26" ht="15" thickBot="1">
      <c r="A214" s="123" t="s">
        <v>1380</v>
      </c>
      <c r="B214" s="355"/>
      <c r="C214" s="124">
        <f t="shared" ref="C214:P214" si="72">SUM(C211+C213)</f>
        <v>202257</v>
      </c>
      <c r="D214" s="124">
        <f t="shared" si="72"/>
        <v>196066</v>
      </c>
      <c r="E214" s="124">
        <f t="shared" si="72"/>
        <v>94774</v>
      </c>
      <c r="F214" s="124">
        <f t="shared" si="72"/>
        <v>3285</v>
      </c>
      <c r="G214" s="124">
        <f t="shared" si="72"/>
        <v>5521</v>
      </c>
      <c r="H214" s="124">
        <f t="shared" si="72"/>
        <v>9666</v>
      </c>
      <c r="I214" s="124">
        <f t="shared" si="72"/>
        <v>18220</v>
      </c>
      <c r="J214" s="124">
        <f t="shared" si="72"/>
        <v>19873</v>
      </c>
      <c r="K214" s="124">
        <f t="shared" si="72"/>
        <v>28180</v>
      </c>
      <c r="L214" s="124">
        <f t="shared" si="72"/>
        <v>43356</v>
      </c>
      <c r="M214" s="124">
        <f t="shared" si="72"/>
        <v>52179</v>
      </c>
      <c r="N214" s="124">
        <f t="shared" si="72"/>
        <v>74919</v>
      </c>
      <c r="O214" s="124">
        <f t="shared" si="72"/>
        <v>62358</v>
      </c>
      <c r="P214" s="125">
        <f t="shared" si="72"/>
        <v>748296</v>
      </c>
      <c r="Q214" s="131"/>
      <c r="R214" s="131"/>
      <c r="S214" s="131"/>
      <c r="T214" s="131"/>
      <c r="U214" s="131"/>
      <c r="V214" s="131"/>
      <c r="W214" s="131"/>
      <c r="X214" s="131"/>
      <c r="Y214" s="131"/>
      <c r="Z214" s="131"/>
    </row>
    <row r="215" spans="1:26" ht="11.4" customHeight="1">
      <c r="A215" s="140"/>
      <c r="B215" s="356"/>
      <c r="C215" s="141"/>
      <c r="D215" s="141"/>
      <c r="E215" s="141"/>
      <c r="F215" s="141"/>
      <c r="G215" s="141"/>
      <c r="H215" s="141"/>
      <c r="I215" s="141"/>
      <c r="J215" s="141"/>
      <c r="K215" s="141"/>
      <c r="L215" s="141"/>
      <c r="M215" s="141"/>
      <c r="N215" s="141"/>
      <c r="O215" s="141"/>
      <c r="P215" s="2204"/>
      <c r="Q215" s="131"/>
      <c r="R215" s="131"/>
      <c r="S215" s="131"/>
      <c r="T215" s="131"/>
      <c r="U215" s="131"/>
      <c r="V215" s="131"/>
      <c r="W215" s="131"/>
      <c r="X215" s="131"/>
      <c r="Y215" s="131"/>
      <c r="Z215" s="131"/>
    </row>
    <row r="216" spans="1:26">
      <c r="A216" s="143" t="s">
        <v>1381</v>
      </c>
      <c r="B216" s="126"/>
      <c r="C216" s="129"/>
      <c r="D216" s="129"/>
      <c r="E216" s="129"/>
      <c r="F216" s="129"/>
      <c r="G216" s="129"/>
      <c r="H216" s="129"/>
      <c r="I216" s="129"/>
      <c r="J216" s="129"/>
      <c r="K216" s="129"/>
      <c r="L216" s="129"/>
      <c r="M216" s="129"/>
      <c r="N216" s="129"/>
      <c r="O216" s="144"/>
      <c r="P216" s="2205"/>
      <c r="Q216" s="131"/>
      <c r="R216" s="131"/>
      <c r="S216" s="131"/>
      <c r="T216" s="131"/>
      <c r="U216" s="131"/>
      <c r="V216" s="131"/>
      <c r="W216" s="131"/>
      <c r="X216" s="131"/>
      <c r="Y216" s="131"/>
      <c r="Z216" s="131"/>
    </row>
    <row r="217" spans="1:26">
      <c r="A217" s="146" t="s">
        <v>224</v>
      </c>
      <c r="B217" s="129"/>
      <c r="C217" s="2199">
        <f t="shared" ref="C217:K217" si="73">SUM(C211/C199-1)</f>
        <v>-6.1591762101819159E-3</v>
      </c>
      <c r="D217" s="2199">
        <f t="shared" si="73"/>
        <v>5.004123954283024E-2</v>
      </c>
      <c r="E217" s="2199">
        <f t="shared" si="73"/>
        <v>-0.52535804907050565</v>
      </c>
      <c r="F217" s="2199">
        <f t="shared" si="73"/>
        <v>-0.97636515397794665</v>
      </c>
      <c r="G217" s="2199">
        <f t="shared" si="73"/>
        <v>-0.9630085126406297</v>
      </c>
      <c r="H217" s="2199">
        <f t="shared" si="73"/>
        <v>-0.96450160523702555</v>
      </c>
      <c r="I217" s="2199">
        <f t="shared" si="73"/>
        <v>-0.92758605491647939</v>
      </c>
      <c r="J217" s="2199">
        <f t="shared" si="73"/>
        <v>-0.92721316321001035</v>
      </c>
      <c r="K217" s="2199">
        <f t="shared" si="73"/>
        <v>-0.89124286874577996</v>
      </c>
      <c r="L217" s="2199">
        <f>SUM(L211/L199-1)</f>
        <v>-0.79086327104308307</v>
      </c>
      <c r="M217" s="2199">
        <f>SUM(M211/M199-1)</f>
        <v>-0.73670632382414403</v>
      </c>
      <c r="N217" s="2199">
        <f>SUM(N211/N199-1)</f>
        <v>-0.64189476801214074</v>
      </c>
      <c r="O217" s="2200">
        <f>SUM(O211/O199-1)</f>
        <v>-0.70824378405201394</v>
      </c>
      <c r="P217" s="1781">
        <f>SUM(P211/P199-1)</f>
        <v>-0.70824378405201394</v>
      </c>
      <c r="Q217" s="131"/>
      <c r="R217" s="131"/>
      <c r="S217" s="131"/>
      <c r="T217" s="131"/>
      <c r="U217" s="131"/>
      <c r="V217" s="131"/>
      <c r="W217" s="131"/>
      <c r="X217" s="131"/>
      <c r="Y217" s="131"/>
      <c r="Z217" s="131"/>
    </row>
    <row r="218" spans="1:26">
      <c r="A218" s="146" t="s">
        <v>225</v>
      </c>
      <c r="B218" s="129"/>
      <c r="C218" s="2199">
        <f t="shared" ref="C218:K218" si="74">SUM(C213/C201-1)</f>
        <v>-6.8716987561765253E-2</v>
      </c>
      <c r="D218" s="2199">
        <f t="shared" si="74"/>
        <v>1.9610647141822035E-2</v>
      </c>
      <c r="E218" s="2199">
        <f t="shared" si="74"/>
        <v>-0.56717901725509179</v>
      </c>
      <c r="F218" s="2199">
        <f t="shared" si="74"/>
        <v>-0.98977362986497219</v>
      </c>
      <c r="G218" s="2199">
        <f t="shared" si="74"/>
        <v>-0.9812990876276505</v>
      </c>
      <c r="H218" s="2199">
        <f t="shared" si="74"/>
        <v>-0.94547161042819006</v>
      </c>
      <c r="I218" s="2199">
        <f t="shared" si="74"/>
        <v>-0.91474513011912673</v>
      </c>
      <c r="J218" s="2199">
        <f t="shared" si="74"/>
        <v>-0.90845966420796154</v>
      </c>
      <c r="K218" s="2199">
        <f t="shared" si="74"/>
        <v>-0.83712851443950298</v>
      </c>
      <c r="L218" s="2199">
        <f t="shared" ref="L218:P219" si="75">SUM(L213/L201-1)</f>
        <v>-0.72968943084449078</v>
      </c>
      <c r="M218" s="2199">
        <f t="shared" si="75"/>
        <v>-0.74672356269930507</v>
      </c>
      <c r="N218" s="2199">
        <f t="shared" si="75"/>
        <v>-0.65281239216287723</v>
      </c>
      <c r="O218" s="2200">
        <f t="shared" si="75"/>
        <v>-0.6945573522458629</v>
      </c>
      <c r="P218" s="1782">
        <f t="shared" si="75"/>
        <v>-0.6945573522458629</v>
      </c>
      <c r="Q218" s="131"/>
      <c r="R218" s="131"/>
      <c r="S218" s="131"/>
      <c r="T218" s="131"/>
      <c r="U218" s="131"/>
      <c r="V218" s="131"/>
      <c r="W218" s="131"/>
      <c r="X218" s="131"/>
      <c r="Y218" s="131"/>
      <c r="Z218" s="131"/>
    </row>
    <row r="219" spans="1:26" ht="15" thickBot="1">
      <c r="A219" s="147" t="s">
        <v>151</v>
      </c>
      <c r="B219" s="357"/>
      <c r="C219" s="2201">
        <f t="shared" ref="C219:K219" si="76">SUM(C214/C202-1)</f>
        <v>-4.0976960535611839E-2</v>
      </c>
      <c r="D219" s="2201">
        <f t="shared" si="76"/>
        <v>3.3220560491563189E-2</v>
      </c>
      <c r="E219" s="2201">
        <f t="shared" si="76"/>
        <v>-0.54840923060795643</v>
      </c>
      <c r="F219" s="2201">
        <f t="shared" si="76"/>
        <v>-0.98372505499296481</v>
      </c>
      <c r="G219" s="2201">
        <f t="shared" si="76"/>
        <v>-0.97290572704519807</v>
      </c>
      <c r="H219" s="2201">
        <f t="shared" si="76"/>
        <v>-0.95471836000449728</v>
      </c>
      <c r="I219" s="2201">
        <f t="shared" si="76"/>
        <v>-0.92105685033297369</v>
      </c>
      <c r="J219" s="2201">
        <f t="shared" si="76"/>
        <v>-0.91789611108586344</v>
      </c>
      <c r="K219" s="2201">
        <f t="shared" si="76"/>
        <v>-0.86384697520932685</v>
      </c>
      <c r="L219" s="2201">
        <f t="shared" si="75"/>
        <v>-0.75733763180871783</v>
      </c>
      <c r="M219" s="2201">
        <f t="shared" si="75"/>
        <v>-0.74207883107767447</v>
      </c>
      <c r="N219" s="2201">
        <f t="shared" si="75"/>
        <v>-0.64725740383257213</v>
      </c>
      <c r="O219" s="2116">
        <f t="shared" si="75"/>
        <v>-0.70101514750144744</v>
      </c>
      <c r="P219" s="713">
        <f t="shared" si="75"/>
        <v>-0.70101514750144744</v>
      </c>
      <c r="Q219" s="131"/>
      <c r="R219" s="131"/>
      <c r="S219" s="131"/>
      <c r="T219" s="131"/>
      <c r="U219" s="131"/>
      <c r="V219" s="131"/>
      <c r="W219" s="131"/>
      <c r="X219" s="131"/>
      <c r="Y219" s="131"/>
      <c r="Z219" s="131"/>
    </row>
    <row r="220" spans="1:26" ht="15" thickBot="1">
      <c r="A220" s="2113"/>
      <c r="B220" s="2113"/>
      <c r="C220" s="2114"/>
      <c r="D220" s="2114"/>
      <c r="E220" s="2114"/>
      <c r="F220" s="2114"/>
      <c r="G220" s="2114"/>
      <c r="H220" s="2114"/>
      <c r="I220" s="2114"/>
      <c r="J220" s="2114"/>
      <c r="K220" s="2114"/>
      <c r="L220" s="2114"/>
      <c r="M220" s="2114"/>
      <c r="N220" s="2114"/>
      <c r="O220" s="2114"/>
      <c r="P220" s="2115"/>
      <c r="Q220" s="131"/>
      <c r="R220" s="131"/>
      <c r="S220" s="131"/>
      <c r="T220" s="131"/>
      <c r="U220" s="131"/>
      <c r="V220" s="131"/>
      <c r="W220" s="131"/>
      <c r="X220" s="131"/>
      <c r="Y220" s="131"/>
      <c r="Z220" s="131"/>
    </row>
    <row r="221" spans="1:26">
      <c r="A221" s="5451" t="s">
        <v>1453</v>
      </c>
      <c r="B221" s="5452"/>
      <c r="C221" s="5452"/>
      <c r="D221" s="5452"/>
      <c r="E221" s="5452"/>
      <c r="F221" s="5452"/>
      <c r="G221" s="5452"/>
      <c r="H221" s="5452"/>
      <c r="I221" s="5452"/>
      <c r="J221" s="5452"/>
      <c r="K221" s="5452"/>
      <c r="L221" s="5452"/>
      <c r="M221" s="5452"/>
      <c r="N221" s="5452"/>
      <c r="O221" s="5454"/>
      <c r="P221" s="2202"/>
      <c r="Q221" s="131"/>
      <c r="R221" s="131"/>
      <c r="S221" s="131"/>
      <c r="T221" s="131"/>
      <c r="U221" s="131"/>
      <c r="V221" s="131"/>
      <c r="W221" s="131"/>
      <c r="X221" s="131"/>
      <c r="Y221" s="131"/>
      <c r="Z221" s="131"/>
    </row>
    <row r="222" spans="1:26">
      <c r="A222" s="135" t="s">
        <v>217</v>
      </c>
      <c r="B222" s="352"/>
      <c r="C222" s="117" t="s">
        <v>218</v>
      </c>
      <c r="D222" s="117" t="s">
        <v>207</v>
      </c>
      <c r="E222" s="117" t="s">
        <v>208</v>
      </c>
      <c r="F222" s="117" t="s">
        <v>219</v>
      </c>
      <c r="G222" s="117" t="s">
        <v>209</v>
      </c>
      <c r="H222" s="117" t="s">
        <v>210</v>
      </c>
      <c r="I222" s="117" t="s">
        <v>220</v>
      </c>
      <c r="J222" s="117" t="s">
        <v>221</v>
      </c>
      <c r="K222" s="117" t="s">
        <v>211</v>
      </c>
      <c r="L222" s="117" t="s">
        <v>212</v>
      </c>
      <c r="M222" s="117" t="s">
        <v>213</v>
      </c>
      <c r="N222" s="117" t="s">
        <v>222</v>
      </c>
      <c r="O222" s="117" t="s">
        <v>223</v>
      </c>
      <c r="P222" s="136" t="s">
        <v>151</v>
      </c>
      <c r="Q222" s="131"/>
      <c r="R222" s="131"/>
      <c r="S222" s="131"/>
      <c r="T222" s="131"/>
      <c r="U222" s="131"/>
      <c r="V222" s="131"/>
      <c r="W222" s="131"/>
      <c r="X222" s="131"/>
      <c r="Y222" s="131"/>
      <c r="Z222" s="131"/>
    </row>
    <row r="223" spans="1:26">
      <c r="A223" s="137" t="s">
        <v>224</v>
      </c>
      <c r="B223" s="353" t="s">
        <v>1870</v>
      </c>
      <c r="C223" s="120">
        <v>27719</v>
      </c>
      <c r="D223" s="120">
        <v>21271</v>
      </c>
      <c r="E223" s="120">
        <v>26766</v>
      </c>
      <c r="F223" s="120">
        <v>27661</v>
      </c>
      <c r="G223" s="120">
        <v>38236</v>
      </c>
      <c r="H223" s="120">
        <v>53121</v>
      </c>
      <c r="I223" s="120">
        <v>70304</v>
      </c>
      <c r="J223" s="120">
        <v>62082</v>
      </c>
      <c r="K223" s="120">
        <v>56619</v>
      </c>
      <c r="L223" s="120">
        <v>59186</v>
      </c>
      <c r="M223" s="120">
        <v>69540</v>
      </c>
      <c r="N223" s="120">
        <v>64544</v>
      </c>
      <c r="O223" s="60">
        <f>AVERAGEIF(C223:N223, "&lt;&gt;0")</f>
        <v>48087.416666666664</v>
      </c>
      <c r="P223" s="138">
        <f>SUM(C223:N223)</f>
        <v>577049</v>
      </c>
      <c r="Q223" s="131"/>
      <c r="R223" s="131"/>
      <c r="S223" s="131"/>
      <c r="T223" s="131"/>
      <c r="U223" s="131"/>
      <c r="V223" s="131"/>
      <c r="W223" s="131"/>
      <c r="X223" s="131"/>
      <c r="Y223" s="131"/>
      <c r="Z223" s="131"/>
    </row>
    <row r="224" spans="1:26">
      <c r="A224" s="137" t="s">
        <v>231</v>
      </c>
      <c r="B224" s="353" t="s">
        <v>1580</v>
      </c>
      <c r="C224" s="120">
        <v>2565</v>
      </c>
      <c r="D224" s="120">
        <v>2439</v>
      </c>
      <c r="E224" s="120">
        <v>1363</v>
      </c>
      <c r="F224" s="120">
        <v>2052</v>
      </c>
      <c r="G224" s="120">
        <v>1555</v>
      </c>
      <c r="H224" s="120">
        <v>3705</v>
      </c>
      <c r="I224" s="120">
        <v>5633</v>
      </c>
      <c r="J224" s="120">
        <v>5372</v>
      </c>
      <c r="K224" s="120"/>
      <c r="L224" s="120"/>
      <c r="M224" s="120"/>
      <c r="N224" s="120"/>
      <c r="O224" s="60">
        <f>AVERAGEIF(C224:N224, "&lt;&gt;0")</f>
        <v>3085.5</v>
      </c>
      <c r="P224" s="138">
        <f>SUM(C224:N224)</f>
        <v>24684</v>
      </c>
      <c r="Q224" s="131"/>
      <c r="R224" s="131"/>
      <c r="S224" s="131"/>
      <c r="T224" s="131"/>
      <c r="U224" s="131"/>
      <c r="V224" s="131"/>
      <c r="W224" s="131"/>
      <c r="X224" s="131"/>
      <c r="Y224" s="131"/>
      <c r="Z224" s="131"/>
    </row>
    <row r="225" spans="1:26" ht="15" thickBot="1">
      <c r="A225" s="139" t="s">
        <v>240</v>
      </c>
      <c r="B225" s="354" t="str">
        <f>B223</f>
        <v>ajustado el 25ene2022</v>
      </c>
      <c r="C225" s="122">
        <v>25394</v>
      </c>
      <c r="D225" s="122">
        <v>25977</v>
      </c>
      <c r="E225" s="122">
        <v>34073</v>
      </c>
      <c r="F225" s="122">
        <v>28775</v>
      </c>
      <c r="G225" s="122">
        <v>31366</v>
      </c>
      <c r="H225" s="122">
        <v>40399</v>
      </c>
      <c r="I225" s="122">
        <v>52584</v>
      </c>
      <c r="J225" s="122">
        <v>60152</v>
      </c>
      <c r="K225" s="122">
        <v>60130</v>
      </c>
      <c r="L225" s="122">
        <v>68918</v>
      </c>
      <c r="M225" s="122">
        <v>68353</v>
      </c>
      <c r="N225" s="122">
        <v>80496</v>
      </c>
      <c r="O225" s="60">
        <f>AVERAGEIF(C225:N225, "&lt;&gt;0")</f>
        <v>48051.416666666664</v>
      </c>
      <c r="P225" s="138">
        <f>SUM(C225:N225)</f>
        <v>576617</v>
      </c>
      <c r="Q225" s="131"/>
      <c r="R225" s="131"/>
      <c r="S225" s="131"/>
      <c r="T225" s="131"/>
      <c r="U225" s="131"/>
      <c r="V225" s="131"/>
      <c r="W225" s="131"/>
      <c r="X225" s="131"/>
      <c r="Y225" s="131"/>
      <c r="Z225" s="131"/>
    </row>
    <row r="226" spans="1:26" ht="15" thickBot="1">
      <c r="A226" s="123" t="s">
        <v>1456</v>
      </c>
      <c r="B226" s="355"/>
      <c r="C226" s="124">
        <f>SUM(C223+C225)</f>
        <v>53113</v>
      </c>
      <c r="D226" s="124">
        <f t="shared" ref="D226:N226" si="77">SUM(D223+D225)</f>
        <v>47248</v>
      </c>
      <c r="E226" s="124">
        <f t="shared" si="77"/>
        <v>60839</v>
      </c>
      <c r="F226" s="124">
        <f t="shared" si="77"/>
        <v>56436</v>
      </c>
      <c r="G226" s="124">
        <f t="shared" si="77"/>
        <v>69602</v>
      </c>
      <c r="H226" s="124">
        <f t="shared" si="77"/>
        <v>93520</v>
      </c>
      <c r="I226" s="124">
        <f t="shared" si="77"/>
        <v>122888</v>
      </c>
      <c r="J226" s="124">
        <f t="shared" si="77"/>
        <v>122234</v>
      </c>
      <c r="K226" s="124">
        <f t="shared" si="77"/>
        <v>116749</v>
      </c>
      <c r="L226" s="124">
        <f t="shared" si="77"/>
        <v>128104</v>
      </c>
      <c r="M226" s="124">
        <f t="shared" si="77"/>
        <v>137893</v>
      </c>
      <c r="N226" s="124">
        <f t="shared" si="77"/>
        <v>145040</v>
      </c>
      <c r="O226" s="124">
        <f>SUM(O223+O225)</f>
        <v>96138.833333333328</v>
      </c>
      <c r="P226" s="125">
        <f>SUM(P223+P225)</f>
        <v>1153666</v>
      </c>
      <c r="Q226" s="4740">
        <f>P226/P214-1</f>
        <v>0.54172413055796098</v>
      </c>
      <c r="R226" s="131"/>
      <c r="S226" s="131"/>
      <c r="T226" s="131"/>
      <c r="U226" s="131"/>
      <c r="V226" s="131"/>
      <c r="W226" s="131"/>
      <c r="X226" s="131"/>
      <c r="Y226" s="131"/>
      <c r="Z226" s="131"/>
    </row>
    <row r="227" spans="1:26" ht="11.4" customHeight="1">
      <c r="A227" s="140"/>
      <c r="B227" s="356"/>
      <c r="C227" s="141"/>
      <c r="D227" s="141"/>
      <c r="E227" s="141"/>
      <c r="F227" s="141"/>
      <c r="G227" s="141"/>
      <c r="H227" s="141"/>
      <c r="I227" s="141"/>
      <c r="J227" s="141"/>
      <c r="K227" s="141"/>
      <c r="L227" s="141"/>
      <c r="M227" s="141"/>
      <c r="N227" s="141"/>
      <c r="O227" s="141"/>
      <c r="P227" s="2204"/>
      <c r="Q227" s="131"/>
      <c r="R227" s="131"/>
      <c r="S227" s="131"/>
      <c r="T227" s="131"/>
      <c r="U227" s="131"/>
      <c r="V227" s="131"/>
      <c r="W227" s="131"/>
      <c r="X227" s="131"/>
      <c r="Y227" s="131"/>
      <c r="Z227" s="131"/>
    </row>
    <row r="228" spans="1:26">
      <c r="A228" s="143" t="s">
        <v>1875</v>
      </c>
      <c r="B228" s="126"/>
      <c r="C228" s="129"/>
      <c r="D228" s="129"/>
      <c r="E228" s="129"/>
      <c r="F228" s="129"/>
      <c r="G228" s="129"/>
      <c r="H228" s="129"/>
      <c r="I228" s="129"/>
      <c r="J228" s="129"/>
      <c r="K228" s="129"/>
      <c r="L228" s="129"/>
      <c r="M228" s="129"/>
      <c r="N228" s="129"/>
      <c r="O228" s="144"/>
      <c r="P228" s="2205"/>
      <c r="Q228" s="131"/>
      <c r="R228" s="131"/>
      <c r="S228" s="131"/>
      <c r="T228" s="131"/>
      <c r="U228" s="131"/>
      <c r="V228" s="131"/>
      <c r="W228" s="131"/>
      <c r="X228" s="131"/>
      <c r="Y228" s="131"/>
      <c r="Z228" s="131"/>
    </row>
    <row r="229" spans="1:26">
      <c r="A229" s="146" t="s">
        <v>224</v>
      </c>
      <c r="B229" s="129"/>
      <c r="C229" s="2876">
        <f t="shared" ref="C229:K229" si="78">SUM(C223/C211-1)</f>
        <v>-0.70176344641339317</v>
      </c>
      <c r="D229" s="2876">
        <f t="shared" si="78"/>
        <v>-0.76131377851588367</v>
      </c>
      <c r="E229" s="2876">
        <f t="shared" si="78"/>
        <v>-0.40130180956002415</v>
      </c>
      <c r="F229" s="2876">
        <f t="shared" si="78"/>
        <v>11.853624535315985</v>
      </c>
      <c r="G229" s="2876">
        <f t="shared" si="78"/>
        <v>10.054061867591789</v>
      </c>
      <c r="H229" s="2876">
        <f t="shared" si="78"/>
        <v>13.427213470939707</v>
      </c>
      <c r="I229" s="2876">
        <f t="shared" si="78"/>
        <v>7.5580036518563602</v>
      </c>
      <c r="J229" s="2876">
        <f t="shared" si="78"/>
        <v>6.0030456852791882</v>
      </c>
      <c r="K229" s="2876">
        <f t="shared" si="78"/>
        <v>4.0943854597804572</v>
      </c>
      <c r="L229" s="2876">
        <f>SUM(L223/L211-1)</f>
        <v>2.5046186641402177</v>
      </c>
      <c r="M229" s="2876">
        <f>SUM(M223/M211-1)</f>
        <v>1.8156126002105433</v>
      </c>
      <c r="N229" s="2876">
        <f>SUM(N223/N211-1)</f>
        <v>0.66784671438538457</v>
      </c>
      <c r="O229" s="2200">
        <f>SUM(O223/O211-1)</f>
        <v>0.67484377675676765</v>
      </c>
      <c r="P229" s="1781">
        <f>SUM(P223/P211-1)</f>
        <v>0.67484377675676765</v>
      </c>
      <c r="Q229" s="131"/>
      <c r="R229" s="131"/>
      <c r="S229" s="131"/>
      <c r="T229" s="131"/>
      <c r="U229" s="131"/>
      <c r="V229" s="131"/>
      <c r="W229" s="131"/>
      <c r="X229" s="131"/>
      <c r="Y229" s="131"/>
      <c r="Z229" s="131"/>
    </row>
    <row r="230" spans="1:26">
      <c r="A230" s="146" t="s">
        <v>225</v>
      </c>
      <c r="B230" s="129"/>
      <c r="C230" s="2876">
        <f t="shared" ref="C230:N230" si="79">SUM(C225/C213-1)</f>
        <v>-0.76769672686023749</v>
      </c>
      <c r="D230" s="2876">
        <f t="shared" si="79"/>
        <v>-0.75710852836398657</v>
      </c>
      <c r="E230" s="2876">
        <f t="shared" si="79"/>
        <v>-0.31945193440789343</v>
      </c>
      <c r="F230" s="2876">
        <f t="shared" si="79"/>
        <v>24.397175639894087</v>
      </c>
      <c r="G230" s="2876">
        <f t="shared" si="79"/>
        <v>14.211445198836081</v>
      </c>
      <c r="H230" s="2876">
        <f t="shared" si="79"/>
        <v>5.7511697860962565</v>
      </c>
      <c r="I230" s="2876">
        <f t="shared" si="79"/>
        <v>4.2557721139430287</v>
      </c>
      <c r="J230" s="2876">
        <f t="shared" si="79"/>
        <v>4.464389534883721</v>
      </c>
      <c r="K230" s="2876">
        <f t="shared" si="79"/>
        <v>2.5233798195242003</v>
      </c>
      <c r="L230" s="2876">
        <f t="shared" si="79"/>
        <v>1.603823484962974</v>
      </c>
      <c r="M230" s="2876">
        <f t="shared" si="79"/>
        <v>1.4872821221935153</v>
      </c>
      <c r="N230" s="2876">
        <f t="shared" si="79"/>
        <v>1.2224185532854777</v>
      </c>
      <c r="O230" s="2200">
        <f>SUM(O225/O213-1)</f>
        <v>0.42812880024371092</v>
      </c>
      <c r="P230" s="1782">
        <f>SUM(P225/P213-1)</f>
        <v>0.42812880024371092</v>
      </c>
      <c r="Q230" s="131"/>
      <c r="R230" s="131"/>
      <c r="S230" s="131"/>
      <c r="T230" s="131"/>
      <c r="U230" s="131"/>
      <c r="V230" s="131"/>
      <c r="W230" s="131"/>
      <c r="X230" s="131"/>
      <c r="Y230" s="131"/>
      <c r="Z230" s="131"/>
    </row>
    <row r="231" spans="1:26" ht="15" thickBot="1">
      <c r="A231" s="147" t="s">
        <v>151</v>
      </c>
      <c r="B231" s="357"/>
      <c r="C231" s="2877">
        <f t="shared" ref="C231:N231" si="80">SUM(C226/C214-1)</f>
        <v>-0.73739845839698992</v>
      </c>
      <c r="D231" s="2877">
        <f t="shared" si="80"/>
        <v>-0.75901992186304612</v>
      </c>
      <c r="E231" s="2877">
        <f t="shared" si="80"/>
        <v>-0.35806233777196272</v>
      </c>
      <c r="F231" s="2877">
        <f t="shared" si="80"/>
        <v>16.179908675799087</v>
      </c>
      <c r="G231" s="2877">
        <f t="shared" si="80"/>
        <v>11.60677413512045</v>
      </c>
      <c r="H231" s="2877">
        <f t="shared" si="80"/>
        <v>8.6751500103455417</v>
      </c>
      <c r="I231" s="2877">
        <f t="shared" si="80"/>
        <v>5.7446761800219539</v>
      </c>
      <c r="J231" s="2877">
        <f t="shared" si="80"/>
        <v>5.1507573089115883</v>
      </c>
      <c r="K231" s="2877">
        <f t="shared" si="80"/>
        <v>3.142973740241306</v>
      </c>
      <c r="L231" s="2877">
        <f t="shared" si="80"/>
        <v>1.9547006181382045</v>
      </c>
      <c r="M231" s="2877">
        <f t="shared" si="80"/>
        <v>1.6426915042450028</v>
      </c>
      <c r="N231" s="2877">
        <f t="shared" si="80"/>
        <v>0.93595750076749562</v>
      </c>
      <c r="O231" s="2116">
        <f>SUM(O226/O214-1)</f>
        <v>0.54172413055796098</v>
      </c>
      <c r="P231" s="713">
        <f>SUM(P226/P214-1)</f>
        <v>0.54172413055796098</v>
      </c>
      <c r="Q231" s="131"/>
      <c r="R231" s="131"/>
      <c r="S231" s="131"/>
      <c r="T231" s="131"/>
      <c r="U231" s="131"/>
      <c r="V231" s="131"/>
      <c r="W231" s="131"/>
      <c r="X231" s="131"/>
      <c r="Y231" s="131"/>
      <c r="Z231" s="131"/>
    </row>
    <row r="232" spans="1:26" ht="15" thickBot="1">
      <c r="A232" s="4495"/>
      <c r="B232" s="4495"/>
      <c r="C232" s="4496"/>
      <c r="D232" s="4496"/>
      <c r="E232" s="4496"/>
      <c r="F232" s="4496"/>
      <c r="G232" s="4496"/>
      <c r="H232" s="4496"/>
      <c r="I232" s="4496"/>
      <c r="J232" s="4496"/>
      <c r="K232" s="4496"/>
      <c r="L232" s="4496"/>
      <c r="M232" s="4496"/>
      <c r="N232" s="4496"/>
      <c r="O232" s="4496"/>
      <c r="P232" s="4496"/>
      <c r="Q232" s="4497"/>
      <c r="R232" s="4497"/>
      <c r="S232" s="4497"/>
      <c r="T232" s="4497"/>
      <c r="U232" s="4497"/>
      <c r="V232" s="4497"/>
      <c r="W232" s="4497"/>
      <c r="X232" s="4497"/>
      <c r="Y232" s="4497"/>
      <c r="Z232" s="4497"/>
    </row>
    <row r="233" spans="1:26">
      <c r="A233" s="5451" t="s">
        <v>1874</v>
      </c>
      <c r="B233" s="5452"/>
      <c r="C233" s="5452"/>
      <c r="D233" s="5452"/>
      <c r="E233" s="5452"/>
      <c r="F233" s="5452"/>
      <c r="G233" s="5452"/>
      <c r="H233" s="5452"/>
      <c r="I233" s="5452"/>
      <c r="J233" s="5452"/>
      <c r="K233" s="5452"/>
      <c r="L233" s="5452"/>
      <c r="M233" s="5452"/>
      <c r="N233" s="5452"/>
      <c r="O233" s="5454"/>
      <c r="P233" s="2202"/>
      <c r="Q233" s="5084" t="s">
        <v>1983</v>
      </c>
      <c r="R233" s="131"/>
      <c r="S233" s="131"/>
      <c r="T233" s="131"/>
      <c r="U233" s="131"/>
      <c r="V233" s="131"/>
      <c r="W233" s="131"/>
      <c r="X233" s="131"/>
      <c r="Y233" s="131"/>
      <c r="Z233" s="131"/>
    </row>
    <row r="234" spans="1:26">
      <c r="A234" s="135" t="s">
        <v>217</v>
      </c>
      <c r="B234" s="352"/>
      <c r="C234" s="117" t="s">
        <v>218</v>
      </c>
      <c r="D234" s="117" t="s">
        <v>207</v>
      </c>
      <c r="E234" s="117" t="s">
        <v>208</v>
      </c>
      <c r="F234" s="117" t="s">
        <v>219</v>
      </c>
      <c r="G234" s="117" t="s">
        <v>209</v>
      </c>
      <c r="H234" s="117" t="s">
        <v>210</v>
      </c>
      <c r="I234" s="117" t="s">
        <v>220</v>
      </c>
      <c r="J234" s="117" t="s">
        <v>221</v>
      </c>
      <c r="K234" s="117" t="s">
        <v>211</v>
      </c>
      <c r="L234" s="117" t="s">
        <v>212</v>
      </c>
      <c r="M234" s="117" t="s">
        <v>213</v>
      </c>
      <c r="N234" s="117" t="s">
        <v>222</v>
      </c>
      <c r="O234" s="117" t="s">
        <v>223</v>
      </c>
      <c r="P234" s="136" t="s">
        <v>151</v>
      </c>
      <c r="Q234" s="5085"/>
      <c r="R234" s="131"/>
      <c r="S234" s="131"/>
      <c r="T234" s="131"/>
      <c r="U234" s="131"/>
      <c r="V234" s="131"/>
      <c r="W234" s="131"/>
      <c r="X234" s="131"/>
      <c r="Y234" s="131"/>
      <c r="Z234" s="131"/>
    </row>
    <row r="235" spans="1:26">
      <c r="A235" s="137" t="s">
        <v>224</v>
      </c>
      <c r="B235" s="353" t="s">
        <v>1932</v>
      </c>
      <c r="C235" s="120">
        <v>55498</v>
      </c>
      <c r="D235" s="120">
        <v>53167</v>
      </c>
      <c r="E235" s="120">
        <v>66494</v>
      </c>
      <c r="F235" s="120">
        <v>68485</v>
      </c>
      <c r="G235" s="120">
        <v>77231</v>
      </c>
      <c r="H235" s="120"/>
      <c r="I235" s="120"/>
      <c r="J235" s="120"/>
      <c r="K235" s="120"/>
      <c r="L235" s="120"/>
      <c r="M235" s="120"/>
      <c r="N235" s="120"/>
      <c r="O235" s="60">
        <f>AVERAGEIF(C235:N235, "&lt;&gt;0")</f>
        <v>64175</v>
      </c>
      <c r="P235" s="138">
        <f>SUM(C235:N235)</f>
        <v>320875</v>
      </c>
      <c r="Q235" s="5086">
        <f>SUM(C235:E235)</f>
        <v>175159</v>
      </c>
      <c r="R235" s="131"/>
      <c r="S235" s="131"/>
      <c r="T235" s="131"/>
      <c r="U235" s="131"/>
      <c r="V235" s="131"/>
      <c r="W235" s="131"/>
      <c r="X235" s="131"/>
      <c r="Y235" s="131"/>
      <c r="Z235" s="131"/>
    </row>
    <row r="236" spans="1:26" ht="15" thickBot="1">
      <c r="A236" s="139" t="s">
        <v>240</v>
      </c>
      <c r="B236" s="354" t="str">
        <f>B235</f>
        <v>ajustado el 12may2022</v>
      </c>
      <c r="C236" s="122">
        <v>52197</v>
      </c>
      <c r="D236" s="122">
        <v>70580</v>
      </c>
      <c r="E236" s="122">
        <v>96574</v>
      </c>
      <c r="F236" s="122">
        <v>110329</v>
      </c>
      <c r="G236" s="122">
        <v>110038</v>
      </c>
      <c r="H236" s="122"/>
      <c r="I236" s="122"/>
      <c r="J236" s="122"/>
      <c r="K236" s="122"/>
      <c r="L236" s="122"/>
      <c r="M236" s="122"/>
      <c r="N236" s="122"/>
      <c r="O236" s="60">
        <f>AVERAGEIF(C236:N236, "&lt;&gt;0")</f>
        <v>87943.6</v>
      </c>
      <c r="P236" s="138">
        <f>SUM(C236:N236)</f>
        <v>439718</v>
      </c>
      <c r="Q236" s="5086">
        <f>SUM(C236:E236)</f>
        <v>219351</v>
      </c>
      <c r="R236" s="131"/>
      <c r="S236" s="131"/>
      <c r="T236" s="131"/>
      <c r="U236" s="131"/>
      <c r="V236" s="131"/>
      <c r="W236" s="131"/>
      <c r="X236" s="131"/>
      <c r="Y236" s="131"/>
      <c r="Z236" s="131"/>
    </row>
    <row r="237" spans="1:26" ht="15" thickBot="1">
      <c r="A237" s="123" t="s">
        <v>1880</v>
      </c>
      <c r="B237" s="355"/>
      <c r="C237" s="124">
        <f>SUM(C235+C236)</f>
        <v>107695</v>
      </c>
      <c r="D237" s="124">
        <f>SUM(D235+D236)</f>
        <v>123747</v>
      </c>
      <c r="E237" s="124">
        <f>SUM(E235+E236)</f>
        <v>163068</v>
      </c>
      <c r="F237" s="124">
        <f>SUM(F235+F236)</f>
        <v>178814</v>
      </c>
      <c r="G237" s="124">
        <f>SUM(G235+G236)</f>
        <v>187269</v>
      </c>
      <c r="H237" s="124"/>
      <c r="I237" s="124"/>
      <c r="J237" s="124"/>
      <c r="K237" s="124"/>
      <c r="L237" s="124"/>
      <c r="M237" s="124"/>
      <c r="N237" s="124"/>
      <c r="O237" s="124">
        <f>SUM(O235+O236)</f>
        <v>152118.6</v>
      </c>
      <c r="P237" s="125">
        <f>SUM(P235+P236)</f>
        <v>760593</v>
      </c>
      <c r="Q237" s="5086">
        <f>SUM(C237:E237)</f>
        <v>394510</v>
      </c>
      <c r="R237" s="131"/>
      <c r="S237" s="131"/>
      <c r="T237" s="131"/>
      <c r="U237" s="131"/>
      <c r="V237" s="131"/>
      <c r="W237" s="131"/>
      <c r="X237" s="131"/>
      <c r="Y237" s="131"/>
      <c r="Z237" s="131"/>
    </row>
    <row r="238" spans="1:26">
      <c r="A238" s="140"/>
      <c r="B238" s="356"/>
      <c r="C238" s="141"/>
      <c r="D238" s="141"/>
      <c r="E238" s="141"/>
      <c r="F238" s="141"/>
      <c r="G238" s="141"/>
      <c r="H238" s="141"/>
      <c r="I238" s="141"/>
      <c r="J238" s="141"/>
      <c r="K238" s="141"/>
      <c r="L238" s="141"/>
      <c r="M238" s="141"/>
      <c r="N238" s="141"/>
      <c r="O238" s="141"/>
      <c r="P238" s="2204"/>
      <c r="Q238" s="5085"/>
      <c r="R238" s="131"/>
      <c r="S238" s="131"/>
      <c r="T238" s="131"/>
      <c r="U238" s="131"/>
      <c r="V238" s="131"/>
      <c r="W238" s="131"/>
      <c r="X238" s="131"/>
      <c r="Y238" s="131"/>
      <c r="Z238" s="131"/>
    </row>
    <row r="239" spans="1:26">
      <c r="A239" s="143" t="s">
        <v>1876</v>
      </c>
      <c r="B239" s="126"/>
      <c r="C239" s="129"/>
      <c r="D239" s="129"/>
      <c r="E239" s="129"/>
      <c r="F239" s="129"/>
      <c r="G239" s="129"/>
      <c r="H239" s="129"/>
      <c r="I239" s="129"/>
      <c r="J239" s="129"/>
      <c r="K239" s="129"/>
      <c r="L239" s="129"/>
      <c r="M239" s="129"/>
      <c r="N239" s="129"/>
      <c r="O239" s="144"/>
      <c r="P239" s="2205"/>
      <c r="Q239" s="131"/>
      <c r="R239" s="131"/>
      <c r="S239" s="131"/>
      <c r="T239" s="131"/>
      <c r="U239" s="131"/>
      <c r="V239" s="131"/>
      <c r="W239" s="131"/>
      <c r="X239" s="131"/>
      <c r="Y239" s="131"/>
      <c r="Z239" s="131"/>
    </row>
    <row r="240" spans="1:26">
      <c r="A240" s="146" t="s">
        <v>224</v>
      </c>
      <c r="B240" s="129"/>
      <c r="C240" s="2876">
        <f>SUM(C235/C223-1)</f>
        <v>1.0021645802518129</v>
      </c>
      <c r="D240" s="2876">
        <f>SUM(D235/D223-1)</f>
        <v>1.4995063701753559</v>
      </c>
      <c r="E240" s="2876">
        <f>SUM(E235/E223-1)</f>
        <v>1.4842710901890457</v>
      </c>
      <c r="F240" s="2876">
        <f>SUM(F235/F223-1)</f>
        <v>1.4758685513900436</v>
      </c>
      <c r="G240" s="2876">
        <f>IF(G235="","",SUM(G235/G223-1))</f>
        <v>1.0198504027617949</v>
      </c>
      <c r="H240" s="2199" t="str">
        <f t="shared" ref="H240:N240" si="81">IF(H235="","",SUM(H235/H223-1))</f>
        <v/>
      </c>
      <c r="I240" s="2199" t="str">
        <f t="shared" si="81"/>
        <v/>
      </c>
      <c r="J240" s="2199" t="str">
        <f t="shared" si="81"/>
        <v/>
      </c>
      <c r="K240" s="2199" t="str">
        <f t="shared" si="81"/>
        <v/>
      </c>
      <c r="L240" s="2199" t="str">
        <f t="shared" si="81"/>
        <v/>
      </c>
      <c r="M240" s="2199" t="str">
        <f t="shared" si="81"/>
        <v/>
      </c>
      <c r="N240" s="2199" t="str">
        <f t="shared" si="81"/>
        <v/>
      </c>
      <c r="O240" s="2200">
        <f>SUM(O235/O223-1)</f>
        <v>0.33454871250101825</v>
      </c>
      <c r="P240" s="1781">
        <f>SUM(P235/P223-1)</f>
        <v>-0.44393803645790908</v>
      </c>
      <c r="Q240" s="131"/>
      <c r="R240" s="131"/>
      <c r="S240" s="131"/>
      <c r="T240" s="131"/>
      <c r="U240" s="131"/>
      <c r="V240" s="131"/>
      <c r="W240" s="131"/>
      <c r="X240" s="131"/>
      <c r="Y240" s="131"/>
      <c r="Z240" s="131"/>
    </row>
    <row r="241" spans="1:26">
      <c r="A241" s="146" t="s">
        <v>225</v>
      </c>
      <c r="B241" s="129"/>
      <c r="C241" s="2876">
        <f t="shared" ref="C241:F242" si="82">SUM(C236/C225-1)</f>
        <v>1.0554855477671889</v>
      </c>
      <c r="D241" s="2876">
        <f t="shared" si="82"/>
        <v>1.717018901335797</v>
      </c>
      <c r="E241" s="2876">
        <f t="shared" si="82"/>
        <v>1.8343262994159599</v>
      </c>
      <c r="F241" s="2876">
        <f t="shared" si="82"/>
        <v>2.834196350999131</v>
      </c>
      <c r="G241" s="2876">
        <f>IF(G236="","",SUM(G236/G225-1))</f>
        <v>2.5081935854109547</v>
      </c>
      <c r="H241" s="2199" t="str">
        <f t="shared" ref="H241:N241" si="83">IF(H236="","",SUM(H236/H225-1))</f>
        <v/>
      </c>
      <c r="I241" s="2199" t="str">
        <f t="shared" si="83"/>
        <v/>
      </c>
      <c r="J241" s="2199" t="str">
        <f t="shared" si="83"/>
        <v/>
      </c>
      <c r="K241" s="2199" t="str">
        <f t="shared" si="83"/>
        <v/>
      </c>
      <c r="L241" s="2199" t="str">
        <f t="shared" si="83"/>
        <v/>
      </c>
      <c r="M241" s="2199" t="str">
        <f t="shared" si="83"/>
        <v/>
      </c>
      <c r="N241" s="2199" t="str">
        <f t="shared" si="83"/>
        <v/>
      </c>
      <c r="O241" s="2200">
        <f>SUM(O236/O225-1)</f>
        <v>0.83019786097184123</v>
      </c>
      <c r="P241" s="1782">
        <f>SUM(P236/P225-1)</f>
        <v>-0.23741755792839958</v>
      </c>
      <c r="Q241" s="131"/>
      <c r="R241" s="131"/>
      <c r="S241" s="131"/>
      <c r="T241" s="131"/>
      <c r="U241" s="131"/>
      <c r="V241" s="131"/>
      <c r="W241" s="131"/>
      <c r="X241" s="131"/>
      <c r="Y241" s="131"/>
      <c r="Z241" s="131"/>
    </row>
    <row r="242" spans="1:26" ht="15" thickBot="1">
      <c r="A242" s="147" t="s">
        <v>151</v>
      </c>
      <c r="B242" s="357"/>
      <c r="C242" s="2877">
        <f t="shared" si="82"/>
        <v>1.0276580121627474</v>
      </c>
      <c r="D242" s="2877">
        <f t="shared" si="82"/>
        <v>1.6190949881476464</v>
      </c>
      <c r="E242" s="2877">
        <f t="shared" si="82"/>
        <v>1.6803201893522246</v>
      </c>
      <c r="F242" s="2877">
        <f t="shared" si="82"/>
        <v>2.1684385853001631</v>
      </c>
      <c r="G242" s="2877">
        <f>IF(G237="","",SUM(G237/G226-1))</f>
        <v>1.690569236516192</v>
      </c>
      <c r="H242" s="2201" t="str">
        <f t="shared" ref="H242:N242" si="84">IF(H237="","",SUM(H237/H226-1))</f>
        <v/>
      </c>
      <c r="I242" s="2201" t="str">
        <f t="shared" si="84"/>
        <v/>
      </c>
      <c r="J242" s="2201" t="str">
        <f t="shared" si="84"/>
        <v/>
      </c>
      <c r="K242" s="2201" t="str">
        <f t="shared" si="84"/>
        <v/>
      </c>
      <c r="L242" s="2201" t="str">
        <f t="shared" si="84"/>
        <v/>
      </c>
      <c r="M242" s="2201" t="str">
        <f t="shared" si="84"/>
        <v/>
      </c>
      <c r="N242" s="2201" t="str">
        <f t="shared" si="84"/>
        <v/>
      </c>
      <c r="O242" s="2116">
        <f>SUM(O237/O226-1)</f>
        <v>0.58228048672666111</v>
      </c>
      <c r="P242" s="713">
        <f>SUM(P237/P226-1)</f>
        <v>-0.34071646386389132</v>
      </c>
      <c r="Q242" s="131"/>
      <c r="R242" s="131"/>
      <c r="S242" s="131"/>
      <c r="T242" s="131"/>
      <c r="U242" s="131"/>
      <c r="V242" s="131"/>
      <c r="W242" s="131"/>
      <c r="X242" s="131"/>
      <c r="Y242" s="131"/>
      <c r="Z242" s="131"/>
    </row>
    <row r="243" spans="1:26">
      <c r="A243" s="130"/>
      <c r="B243" s="130"/>
      <c r="C243" s="4480"/>
      <c r="D243" s="4480"/>
      <c r="E243" s="4480"/>
      <c r="F243" s="4480"/>
      <c r="G243" s="4480"/>
      <c r="H243" s="4480"/>
      <c r="I243" s="4480"/>
      <c r="J243" s="4480"/>
      <c r="K243" s="4480"/>
      <c r="L243" s="4480"/>
      <c r="M243" s="4480"/>
      <c r="N243" s="4480"/>
      <c r="O243" s="2200"/>
      <c r="P243" s="2876"/>
      <c r="Q243" s="131"/>
      <c r="R243" s="131"/>
      <c r="S243" s="131"/>
      <c r="T243" s="131"/>
      <c r="U243" s="131"/>
      <c r="V243" s="131"/>
      <c r="W243" s="131"/>
      <c r="X243" s="131"/>
      <c r="Y243" s="131"/>
      <c r="Z243" s="131"/>
    </row>
    <row r="244" spans="1:26">
      <c r="A244" s="356" t="s">
        <v>1121</v>
      </c>
      <c r="B244" s="356"/>
      <c r="C244" s="1780"/>
      <c r="D244" s="1780"/>
      <c r="E244" s="1780"/>
      <c r="F244" s="1780"/>
      <c r="G244" s="1780"/>
      <c r="H244" s="1780"/>
      <c r="I244" s="1780"/>
      <c r="J244" s="1780"/>
      <c r="K244" s="1780"/>
      <c r="L244" s="1780"/>
      <c r="M244" s="1780"/>
      <c r="N244" s="1780"/>
      <c r="O244" s="1780"/>
      <c r="P244" s="1780"/>
      <c r="Q244" s="131"/>
      <c r="R244" s="131"/>
      <c r="S244" s="131"/>
      <c r="T244" s="131"/>
      <c r="U244" s="131"/>
      <c r="V244" s="131"/>
      <c r="W244" s="131"/>
      <c r="X244" s="131"/>
      <c r="Y244" s="131"/>
      <c r="Z244" s="131"/>
    </row>
    <row r="245" spans="1:26">
      <c r="A245" s="525" t="s">
        <v>572</v>
      </c>
      <c r="B245" s="526"/>
      <c r="C245" s="526"/>
      <c r="D245" s="526"/>
      <c r="E245" s="526"/>
      <c r="F245" s="526"/>
      <c r="G245" s="526"/>
      <c r="H245" s="526"/>
      <c r="I245" s="526"/>
      <c r="J245" s="526"/>
      <c r="K245" s="526"/>
      <c r="L245" s="526"/>
      <c r="M245" s="526"/>
      <c r="N245" s="526"/>
      <c r="O245" s="131"/>
      <c r="P245" s="131"/>
      <c r="Q245" s="131"/>
      <c r="R245" s="131"/>
      <c r="S245" s="131"/>
      <c r="T245" s="131"/>
      <c r="U245" s="131"/>
      <c r="V245" s="131"/>
      <c r="W245" s="131"/>
      <c r="X245" s="131"/>
      <c r="Y245" s="131"/>
      <c r="Z245" s="131"/>
    </row>
    <row r="246" spans="1:26">
      <c r="A246" s="525" t="s">
        <v>225</v>
      </c>
      <c r="B246" s="527" t="s">
        <v>1458</v>
      </c>
      <c r="C246" s="527"/>
      <c r="D246" s="527"/>
      <c r="E246" s="527"/>
      <c r="F246" s="527"/>
      <c r="G246" s="527"/>
      <c r="H246" s="527"/>
      <c r="I246" s="527"/>
      <c r="J246" s="527"/>
      <c r="K246" s="527"/>
      <c r="L246" s="527"/>
      <c r="M246" s="527"/>
      <c r="N246" s="527"/>
      <c r="O246" s="131"/>
      <c r="P246" s="131"/>
      <c r="Q246" s="131"/>
      <c r="R246" s="131"/>
      <c r="S246" s="131"/>
      <c r="T246" s="131"/>
      <c r="U246" s="131"/>
      <c r="V246" s="131"/>
      <c r="W246" s="131"/>
      <c r="X246" s="131"/>
      <c r="Y246" s="131"/>
      <c r="Z246" s="131"/>
    </row>
    <row r="247" spans="1:26">
      <c r="A247" s="525" t="s">
        <v>224</v>
      </c>
      <c r="B247" s="527" t="s">
        <v>1459</v>
      </c>
      <c r="C247" s="527"/>
      <c r="D247" s="527"/>
      <c r="E247" s="527"/>
      <c r="F247" s="527"/>
      <c r="G247" s="527"/>
      <c r="H247" s="527"/>
      <c r="I247" s="527"/>
      <c r="J247" s="527"/>
      <c r="K247" s="527"/>
      <c r="L247" s="527"/>
      <c r="M247" s="527"/>
      <c r="N247" s="527"/>
      <c r="O247" s="131"/>
      <c r="P247" s="131"/>
      <c r="Q247" s="131"/>
      <c r="R247" s="131"/>
      <c r="S247" s="131"/>
      <c r="T247" s="131"/>
      <c r="U247" s="131"/>
      <c r="V247" s="131"/>
      <c r="W247" s="131"/>
      <c r="X247" s="131"/>
      <c r="Y247" s="131"/>
      <c r="Z247" s="131"/>
    </row>
    <row r="248" spans="1:26">
      <c r="A248" s="525"/>
      <c r="B248" s="527"/>
      <c r="C248" s="527"/>
      <c r="D248" s="527"/>
      <c r="E248" s="527"/>
      <c r="F248" s="527"/>
      <c r="G248" s="527"/>
      <c r="H248" s="527"/>
      <c r="I248" s="527"/>
      <c r="J248" s="527"/>
      <c r="K248" s="527"/>
      <c r="L248" s="527"/>
      <c r="M248" s="527"/>
      <c r="N248" s="527"/>
      <c r="O248" s="131"/>
      <c r="P248" s="131"/>
      <c r="Q248" s="131"/>
      <c r="R248" s="131"/>
      <c r="S248" s="131"/>
      <c r="T248" s="131"/>
      <c r="U248" s="131"/>
      <c r="V248" s="131"/>
      <c r="W248" s="131"/>
      <c r="X248" s="131"/>
      <c r="Y248" s="131"/>
      <c r="Z248" s="131"/>
    </row>
    <row r="249" spans="1:26">
      <c r="A249" s="149"/>
      <c r="B249" s="149"/>
      <c r="C249" s="2372" t="s">
        <v>532</v>
      </c>
      <c r="D249" s="2372" t="s">
        <v>314</v>
      </c>
      <c r="E249" s="2372" t="s">
        <v>313</v>
      </c>
      <c r="F249" s="2372" t="s">
        <v>312</v>
      </c>
      <c r="G249" s="2372" t="s">
        <v>304</v>
      </c>
      <c r="H249" s="152" t="s">
        <v>305</v>
      </c>
      <c r="I249" s="152" t="s">
        <v>306</v>
      </c>
      <c r="J249" s="152" t="s">
        <v>307</v>
      </c>
      <c r="K249" s="152" t="s">
        <v>311</v>
      </c>
      <c r="L249" s="152" t="s">
        <v>308</v>
      </c>
      <c r="M249" s="152" t="s">
        <v>309</v>
      </c>
      <c r="N249" s="152" t="s">
        <v>310</v>
      </c>
      <c r="O249" s="149"/>
      <c r="P249" s="149"/>
      <c r="Q249" s="98"/>
      <c r="R249" s="98"/>
      <c r="S249" s="98"/>
      <c r="T249" s="98"/>
      <c r="U249" s="98"/>
      <c r="V249" s="98"/>
      <c r="W249" s="98"/>
      <c r="X249" s="98"/>
      <c r="Y249" s="98"/>
      <c r="Z249" s="98"/>
    </row>
    <row r="250" spans="1:26">
      <c r="A250" s="330" t="s">
        <v>294</v>
      </c>
      <c r="B250" s="331">
        <v>2020</v>
      </c>
      <c r="C250" s="332">
        <f>SUM(C211)</f>
        <v>92943</v>
      </c>
      <c r="D250" s="332">
        <f>SUM(C211:D211)</f>
        <v>182060</v>
      </c>
      <c r="E250" s="332">
        <f>SUM(C211:E211)</f>
        <v>226767</v>
      </c>
      <c r="F250" s="332">
        <f>SUM(C211:F211)</f>
        <v>228919</v>
      </c>
      <c r="G250" s="332">
        <f>SUM(C211:G211)</f>
        <v>232378</v>
      </c>
      <c r="H250" s="332">
        <f>SUM(C211:H211)</f>
        <v>236060</v>
      </c>
      <c r="I250" s="332">
        <f>SUM(C211:I211)</f>
        <v>244275</v>
      </c>
      <c r="J250" s="332">
        <f>SUM(C211:J211)</f>
        <v>253140</v>
      </c>
      <c r="K250" s="332">
        <f>SUM(C211:K211)</f>
        <v>264254</v>
      </c>
      <c r="L250" s="332">
        <f>SUM(C211:L211)</f>
        <v>281142</v>
      </c>
      <c r="M250" s="332">
        <f>SUM(C211:M211)</f>
        <v>305840</v>
      </c>
      <c r="N250" s="332">
        <f>SUM(C211:N211)</f>
        <v>344539</v>
      </c>
      <c r="O250" s="330"/>
      <c r="P250" s="149"/>
      <c r="Q250" s="98"/>
      <c r="R250" s="98"/>
      <c r="S250" s="98"/>
      <c r="T250" s="98"/>
      <c r="U250" s="98"/>
      <c r="V250" s="98"/>
      <c r="W250" s="98"/>
      <c r="X250" s="98"/>
      <c r="Y250" s="98"/>
      <c r="Z250" s="98"/>
    </row>
    <row r="251" spans="1:26">
      <c r="A251" s="3637" t="s">
        <v>294</v>
      </c>
      <c r="B251" s="152">
        <v>2021</v>
      </c>
      <c r="C251" s="3638">
        <f>SUM(C223)</f>
        <v>27719</v>
      </c>
      <c r="D251" s="3638">
        <f>SUM(C223:D223)</f>
        <v>48990</v>
      </c>
      <c r="E251" s="3638">
        <f>SUM(C223:E223)</f>
        <v>75756</v>
      </c>
      <c r="F251" s="3638">
        <f>SUM(C223:F223)</f>
        <v>103417</v>
      </c>
      <c r="G251" s="3638">
        <f>SUM(C223:G223)</f>
        <v>141653</v>
      </c>
      <c r="H251" s="3639">
        <f>SUM(C223:H223)</f>
        <v>194774</v>
      </c>
      <c r="I251" s="3639">
        <f>SUM(C223:I223)</f>
        <v>265078</v>
      </c>
      <c r="J251" s="3639">
        <f>SUM(C223:J223)</f>
        <v>327160</v>
      </c>
      <c r="K251" s="3639">
        <f>SUM(C223:K223)</f>
        <v>383779</v>
      </c>
      <c r="L251" s="3639">
        <f>SUM(C223:L223)</f>
        <v>442965</v>
      </c>
      <c r="M251" s="3639">
        <f>SUM(C223:M223)</f>
        <v>512505</v>
      </c>
      <c r="N251" s="3639">
        <f>SUM(C223:N223)</f>
        <v>577049</v>
      </c>
      <c r="O251" s="3637"/>
      <c r="P251" s="3637"/>
      <c r="Q251" s="359"/>
      <c r="R251" s="359"/>
      <c r="S251" s="359"/>
      <c r="T251" s="359"/>
      <c r="U251" s="359"/>
      <c r="V251" s="359"/>
      <c r="W251" s="359"/>
      <c r="X251" s="359"/>
      <c r="Y251" s="359"/>
      <c r="Z251" s="359"/>
    </row>
    <row r="252" spans="1:26">
      <c r="A252" s="4481" t="s">
        <v>294</v>
      </c>
      <c r="B252" s="4482">
        <v>2022</v>
      </c>
      <c r="C252" s="4483">
        <f>SUM(C235)</f>
        <v>55498</v>
      </c>
      <c r="D252" s="4483">
        <f>SUM(C235:D235)</f>
        <v>108665</v>
      </c>
      <c r="E252" s="4483">
        <f>SUM(C235:E235)</f>
        <v>175159</v>
      </c>
      <c r="F252" s="4483">
        <f>SUM(C235:F235)</f>
        <v>243644</v>
      </c>
      <c r="G252" s="4483">
        <f>SUM(C235:G235)</f>
        <v>320875</v>
      </c>
      <c r="H252" s="4483">
        <f>SUM(C235:H235)</f>
        <v>320875</v>
      </c>
      <c r="I252" s="4483">
        <f>SUM(C235:I235)</f>
        <v>320875</v>
      </c>
      <c r="J252" s="4483">
        <f>SUM(C235:J235)</f>
        <v>320875</v>
      </c>
      <c r="K252" s="4483">
        <f>SUM(C235:K235)</f>
        <v>320875</v>
      </c>
      <c r="L252" s="4483">
        <f>SUM(C235:L235)</f>
        <v>320875</v>
      </c>
      <c r="M252" s="4483">
        <f>SUM(C235:M235)</f>
        <v>320875</v>
      </c>
      <c r="N252" s="4483">
        <f>SUM(C235:N235)</f>
        <v>320875</v>
      </c>
      <c r="O252" s="4481"/>
      <c r="P252" s="4481"/>
      <c r="Q252" s="4484"/>
      <c r="R252" s="4484"/>
      <c r="S252" s="4484"/>
      <c r="T252" s="4484"/>
      <c r="U252" s="4484"/>
      <c r="V252" s="4484"/>
      <c r="W252" s="4484"/>
      <c r="X252" s="4484"/>
      <c r="Y252" s="4484"/>
      <c r="Z252" s="4484"/>
    </row>
    <row r="253" spans="1:26" ht="28.8" hidden="1">
      <c r="A253" s="150"/>
      <c r="B253" s="151" t="s">
        <v>1454</v>
      </c>
      <c r="C253" s="638">
        <f t="shared" ref="C253:G254" si="85">C251/C250-1</f>
        <v>-0.70176344641339317</v>
      </c>
      <c r="D253" s="638">
        <f t="shared" si="85"/>
        <v>-0.73091288586180381</v>
      </c>
      <c r="E253" s="638">
        <f t="shared" si="85"/>
        <v>-0.66593022794321932</v>
      </c>
      <c r="F253" s="638">
        <f t="shared" si="85"/>
        <v>-0.5482375862204536</v>
      </c>
      <c r="G253" s="638">
        <f t="shared" si="85"/>
        <v>-0.39041991926946618</v>
      </c>
      <c r="H253" s="646">
        <f t="shared" ref="H253:N253" si="86">H251/H250-1</f>
        <v>-0.17489621282724732</v>
      </c>
      <c r="I253" s="646">
        <f t="shared" si="86"/>
        <v>8.516221471701968E-2</v>
      </c>
      <c r="J253" s="646">
        <f t="shared" si="86"/>
        <v>0.29240736351426078</v>
      </c>
      <c r="K253" s="646">
        <f t="shared" si="86"/>
        <v>0.4523110340808465</v>
      </c>
      <c r="L253" s="646">
        <f t="shared" si="86"/>
        <v>0.57559169387711551</v>
      </c>
      <c r="M253" s="646">
        <f t="shared" si="86"/>
        <v>0.67572913941930413</v>
      </c>
      <c r="N253" s="646">
        <f t="shared" si="86"/>
        <v>0.67484377675676765</v>
      </c>
      <c r="O253" s="150"/>
      <c r="P253" s="150"/>
      <c r="Q253" s="375"/>
      <c r="R253" s="375"/>
      <c r="S253" s="375"/>
      <c r="T253" s="375"/>
      <c r="U253" s="375"/>
      <c r="V253" s="375"/>
      <c r="W253" s="375"/>
      <c r="X253" s="375"/>
      <c r="Y253" s="375"/>
      <c r="Z253" s="375"/>
    </row>
    <row r="254" spans="1:26" ht="28.8">
      <c r="A254" s="4485"/>
      <c r="B254" s="4486" t="s">
        <v>1877</v>
      </c>
      <c r="C254" s="4487">
        <f t="shared" si="85"/>
        <v>1.0021645802518129</v>
      </c>
      <c r="D254" s="4487">
        <f t="shared" si="85"/>
        <v>1.2181057358644622</v>
      </c>
      <c r="E254" s="4487">
        <f t="shared" si="85"/>
        <v>1.3121468926553672</v>
      </c>
      <c r="F254" s="4487">
        <f t="shared" si="85"/>
        <v>1.3559376118046358</v>
      </c>
      <c r="G254" s="4487">
        <f>IF(G237="","",G252/G251-1)</f>
        <v>1.2652185269637779</v>
      </c>
      <c r="H254" s="4488" t="str">
        <f t="shared" ref="H254:N254" si="87">IF(H237="","",H252/H251-1)</f>
        <v/>
      </c>
      <c r="I254" s="4488" t="str">
        <f t="shared" si="87"/>
        <v/>
      </c>
      <c r="J254" s="4488" t="str">
        <f t="shared" si="87"/>
        <v/>
      </c>
      <c r="K254" s="4488" t="str">
        <f t="shared" si="87"/>
        <v/>
      </c>
      <c r="L254" s="4488" t="str">
        <f t="shared" si="87"/>
        <v/>
      </c>
      <c r="M254" s="4488" t="str">
        <f t="shared" si="87"/>
        <v/>
      </c>
      <c r="N254" s="4488" t="str">
        <f t="shared" si="87"/>
        <v/>
      </c>
      <c r="O254" s="4485"/>
      <c r="P254" s="4485"/>
      <c r="Q254" s="4489"/>
      <c r="R254" s="4489"/>
      <c r="S254" s="4489"/>
      <c r="T254" s="4489"/>
      <c r="U254" s="4489"/>
      <c r="V254" s="4489"/>
      <c r="W254" s="4489"/>
      <c r="X254" s="4489"/>
      <c r="Y254" s="4489"/>
      <c r="Z254" s="4489"/>
    </row>
    <row r="255" spans="1:26">
      <c r="A255" s="149"/>
      <c r="B255" s="149"/>
      <c r="C255" s="152" t="s">
        <v>532</v>
      </c>
      <c r="D255" s="152" t="s">
        <v>314</v>
      </c>
      <c r="E255" s="152" t="s">
        <v>313</v>
      </c>
      <c r="F255" s="152" t="s">
        <v>312</v>
      </c>
      <c r="G255" s="152" t="s">
        <v>304</v>
      </c>
      <c r="H255" s="152" t="s">
        <v>305</v>
      </c>
      <c r="I255" s="152" t="s">
        <v>306</v>
      </c>
      <c r="J255" s="152" t="s">
        <v>307</v>
      </c>
      <c r="K255" s="152" t="s">
        <v>311</v>
      </c>
      <c r="L255" s="152" t="s">
        <v>308</v>
      </c>
      <c r="M255" s="152" t="s">
        <v>309</v>
      </c>
      <c r="N255" s="152" t="s">
        <v>310</v>
      </c>
      <c r="O255" s="150"/>
      <c r="P255" s="150"/>
      <c r="Q255" s="375"/>
      <c r="R255" s="375"/>
      <c r="S255" s="375"/>
      <c r="T255" s="375"/>
      <c r="U255" s="375"/>
      <c r="V255" s="375"/>
      <c r="W255" s="375"/>
      <c r="X255" s="375"/>
      <c r="Y255" s="375"/>
      <c r="Z255" s="375"/>
    </row>
    <row r="256" spans="1:26">
      <c r="A256" s="330" t="s">
        <v>847</v>
      </c>
      <c r="B256" s="331">
        <v>2020</v>
      </c>
      <c r="C256" s="332">
        <f>SUM(C213)</f>
        <v>109314</v>
      </c>
      <c r="D256" s="332">
        <f>SUM(C213:D213)</f>
        <v>216263</v>
      </c>
      <c r="E256" s="332">
        <f>SUM(C213:E213)</f>
        <v>266330</v>
      </c>
      <c r="F256" s="332">
        <f>SUM(C213:F213)</f>
        <v>267463</v>
      </c>
      <c r="G256" s="332">
        <f>SUM(C213:G213)</f>
        <v>269525</v>
      </c>
      <c r="H256" s="332">
        <f>SUM(C213:H213)</f>
        <v>275509</v>
      </c>
      <c r="I256" s="332">
        <f>SUM(C213:I213)</f>
        <v>285514</v>
      </c>
      <c r="J256" s="332">
        <f>SUM(C213:J213)</f>
        <v>296522</v>
      </c>
      <c r="K256" s="332">
        <f>SUM(C213:K213)</f>
        <v>313588</v>
      </c>
      <c r="L256" s="332">
        <f>SUM(C213:L213)</f>
        <v>340056</v>
      </c>
      <c r="M256" s="332">
        <f>SUM(C213:M213)</f>
        <v>367537</v>
      </c>
      <c r="N256" s="332">
        <f>SUM(C213:N213)</f>
        <v>403757</v>
      </c>
      <c r="O256" s="150"/>
      <c r="P256" s="150"/>
      <c r="Q256" s="375"/>
      <c r="R256" s="375"/>
      <c r="S256" s="375"/>
      <c r="T256" s="375"/>
      <c r="U256" s="375"/>
      <c r="V256" s="375"/>
      <c r="W256" s="375"/>
      <c r="X256" s="375"/>
      <c r="Y256" s="375"/>
      <c r="Z256" s="375"/>
    </row>
    <row r="257" spans="1:26">
      <c r="A257" s="3637" t="s">
        <v>847</v>
      </c>
      <c r="B257" s="152">
        <v>2021</v>
      </c>
      <c r="C257" s="3638">
        <f>SUM(C225)</f>
        <v>25394</v>
      </c>
      <c r="D257" s="3638">
        <f>SUM(C225:D225)</f>
        <v>51371</v>
      </c>
      <c r="E257" s="3638">
        <f>SUM(C225:E225)</f>
        <v>85444</v>
      </c>
      <c r="F257" s="3638">
        <f>SUM(C225:F225)</f>
        <v>114219</v>
      </c>
      <c r="G257" s="3638">
        <f>SUM(C225:G225)</f>
        <v>145585</v>
      </c>
      <c r="H257" s="3639">
        <f>SUM(C225:H225)</f>
        <v>185984</v>
      </c>
      <c r="I257" s="3639">
        <f>SUM(C225:I225)</f>
        <v>238568</v>
      </c>
      <c r="J257" s="3639">
        <f>SUM(C225:J225)</f>
        <v>298720</v>
      </c>
      <c r="K257" s="3639">
        <f>SUM(C225:K225)</f>
        <v>358850</v>
      </c>
      <c r="L257" s="3639">
        <f>SUM(C225:L225)</f>
        <v>427768</v>
      </c>
      <c r="M257" s="3639">
        <f>SUM(C225:M225)</f>
        <v>496121</v>
      </c>
      <c r="N257" s="3639">
        <f>SUM(C225:N225)</f>
        <v>576617</v>
      </c>
      <c r="O257" s="150"/>
      <c r="P257" s="150"/>
      <c r="Q257" s="375"/>
      <c r="R257" s="375"/>
      <c r="S257" s="375"/>
      <c r="T257" s="375"/>
      <c r="U257" s="375"/>
      <c r="V257" s="375"/>
      <c r="W257" s="375"/>
      <c r="X257" s="375"/>
      <c r="Y257" s="375"/>
      <c r="Z257" s="375"/>
    </row>
    <row r="258" spans="1:26">
      <c r="A258" s="4481" t="s">
        <v>847</v>
      </c>
      <c r="B258" s="4482">
        <v>2022</v>
      </c>
      <c r="C258" s="4483">
        <f>SUM(C236)</f>
        <v>52197</v>
      </c>
      <c r="D258" s="4483">
        <f>SUM(C236:D236)</f>
        <v>122777</v>
      </c>
      <c r="E258" s="4483">
        <f>SUM(C236:E236)</f>
        <v>219351</v>
      </c>
      <c r="F258" s="4483">
        <f>SUM(C236:F236)</f>
        <v>329680</v>
      </c>
      <c r="G258" s="4483">
        <f>SUM(C236:G236)</f>
        <v>439718</v>
      </c>
      <c r="H258" s="4483">
        <f>SUM(C236:H236)</f>
        <v>439718</v>
      </c>
      <c r="I258" s="4483">
        <f>SUM(C236:I236)</f>
        <v>439718</v>
      </c>
      <c r="J258" s="4483">
        <f>SUM(C236:J236)</f>
        <v>439718</v>
      </c>
      <c r="K258" s="4483">
        <f>SUM(C236:K236)</f>
        <v>439718</v>
      </c>
      <c r="L258" s="4483">
        <f>SUM(C236:L236)</f>
        <v>439718</v>
      </c>
      <c r="M258" s="4483">
        <f>SUM(C236:M236)</f>
        <v>439718</v>
      </c>
      <c r="N258" s="4483">
        <f>SUM(C236:N236)</f>
        <v>439718</v>
      </c>
      <c r="O258" s="4485"/>
      <c r="P258" s="4485"/>
      <c r="Q258" s="4489"/>
      <c r="R258" s="4489"/>
      <c r="S258" s="4489"/>
      <c r="T258" s="4489"/>
      <c r="U258" s="4489"/>
      <c r="V258" s="4489"/>
      <c r="W258" s="4489"/>
      <c r="X258" s="4489"/>
      <c r="Y258" s="4489"/>
      <c r="Z258" s="4489"/>
    </row>
    <row r="259" spans="1:26" ht="28.8" hidden="1">
      <c r="A259" s="150"/>
      <c r="B259" s="151" t="s">
        <v>1455</v>
      </c>
      <c r="C259" s="638">
        <f t="shared" ref="C259:G260" si="88">C257/C256-1</f>
        <v>-0.76769672686023749</v>
      </c>
      <c r="D259" s="638">
        <f t="shared" si="88"/>
        <v>-0.76246052260442143</v>
      </c>
      <c r="E259" s="638">
        <f t="shared" si="88"/>
        <v>-0.67917996470544062</v>
      </c>
      <c r="F259" s="638">
        <f t="shared" si="88"/>
        <v>-0.57295401606951235</v>
      </c>
      <c r="G259" s="638">
        <f t="shared" si="88"/>
        <v>-0.45984602541508213</v>
      </c>
      <c r="H259" s="646">
        <f t="shared" ref="H259:N259" si="89">H257/H256-1</f>
        <v>-0.32494401271827777</v>
      </c>
      <c r="I259" s="646">
        <f t="shared" si="89"/>
        <v>-0.16442626281022998</v>
      </c>
      <c r="J259" s="646">
        <f t="shared" si="89"/>
        <v>7.4126034493224857E-3</v>
      </c>
      <c r="K259" s="646">
        <f t="shared" si="89"/>
        <v>0.14433588019949739</v>
      </c>
      <c r="L259" s="646">
        <f t="shared" si="89"/>
        <v>0.25793398734326112</v>
      </c>
      <c r="M259" s="646">
        <f t="shared" si="89"/>
        <v>0.34985321205756148</v>
      </c>
      <c r="N259" s="646">
        <f t="shared" si="89"/>
        <v>0.42812880024371092</v>
      </c>
      <c r="O259" s="150"/>
      <c r="P259" s="150"/>
      <c r="Q259" s="375"/>
      <c r="R259" s="375"/>
      <c r="S259" s="375"/>
      <c r="T259" s="375"/>
      <c r="U259" s="375"/>
      <c r="V259" s="375"/>
      <c r="W259" s="375"/>
      <c r="X259" s="375"/>
      <c r="Y259" s="375"/>
      <c r="Z259" s="375"/>
    </row>
    <row r="260" spans="1:26" ht="28.8">
      <c r="A260" s="4485"/>
      <c r="B260" s="4486" t="s">
        <v>1878</v>
      </c>
      <c r="C260" s="4487">
        <f t="shared" si="88"/>
        <v>1.0554855477671889</v>
      </c>
      <c r="D260" s="4487">
        <f t="shared" si="88"/>
        <v>1.3900060345331022</v>
      </c>
      <c r="E260" s="4487">
        <f t="shared" si="88"/>
        <v>1.5671902064510088</v>
      </c>
      <c r="F260" s="4487">
        <f t="shared" si="88"/>
        <v>1.8863849272012536</v>
      </c>
      <c r="G260" s="4487">
        <f>IF(G237="","",G258/G257-1)</f>
        <v>2.0203523714668408</v>
      </c>
      <c r="H260" s="4488" t="str">
        <f t="shared" ref="H260:N260" si="90">IF(H237="","",H258/H257-1)</f>
        <v/>
      </c>
      <c r="I260" s="4488" t="str">
        <f t="shared" si="90"/>
        <v/>
      </c>
      <c r="J260" s="4488" t="str">
        <f t="shared" si="90"/>
        <v/>
      </c>
      <c r="K260" s="4488" t="str">
        <f t="shared" si="90"/>
        <v/>
      </c>
      <c r="L260" s="4488" t="str">
        <f t="shared" si="90"/>
        <v/>
      </c>
      <c r="M260" s="4488" t="str">
        <f t="shared" si="90"/>
        <v/>
      </c>
      <c r="N260" s="4488" t="str">
        <f t="shared" si="90"/>
        <v/>
      </c>
      <c r="O260" s="4485"/>
      <c r="P260" s="4485"/>
      <c r="Q260" s="4489"/>
      <c r="R260" s="4489"/>
      <c r="S260" s="4489"/>
      <c r="T260" s="4489"/>
      <c r="U260" s="4489"/>
      <c r="V260" s="4489"/>
      <c r="W260" s="4489"/>
      <c r="X260" s="4489"/>
      <c r="Y260" s="4489"/>
      <c r="Z260" s="4489"/>
    </row>
    <row r="261" spans="1:26">
      <c r="A261" s="150"/>
      <c r="B261" s="151"/>
      <c r="C261" s="225"/>
      <c r="D261" s="225"/>
      <c r="E261" s="225"/>
      <c r="F261" s="225"/>
      <c r="G261" s="225"/>
      <c r="H261" s="225"/>
      <c r="I261" s="225"/>
      <c r="J261" s="225"/>
      <c r="K261" s="225"/>
      <c r="L261" s="225"/>
      <c r="M261" s="225"/>
      <c r="N261" s="225"/>
      <c r="O261" s="150"/>
      <c r="P261" s="150"/>
      <c r="Q261" s="375"/>
      <c r="R261" s="375"/>
      <c r="S261" s="375"/>
      <c r="T261" s="375"/>
      <c r="U261" s="375"/>
      <c r="V261" s="375"/>
      <c r="W261" s="375"/>
      <c r="X261" s="375"/>
      <c r="Y261" s="375"/>
      <c r="Z261" s="375"/>
    </row>
    <row r="262" spans="1:26">
      <c r="A262" s="149"/>
      <c r="B262" s="376"/>
      <c r="C262" s="377" t="s">
        <v>532</v>
      </c>
      <c r="D262" s="377" t="s">
        <v>314</v>
      </c>
      <c r="E262" s="377" t="s">
        <v>313</v>
      </c>
      <c r="F262" s="377" t="s">
        <v>312</v>
      </c>
      <c r="G262" s="377" t="s">
        <v>304</v>
      </c>
      <c r="H262" s="377" t="s">
        <v>305</v>
      </c>
      <c r="I262" s="377" t="s">
        <v>306</v>
      </c>
      <c r="J262" s="377" t="s">
        <v>307</v>
      </c>
      <c r="K262" s="377" t="s">
        <v>311</v>
      </c>
      <c r="L262" s="377" t="s">
        <v>308</v>
      </c>
      <c r="M262" s="377" t="s">
        <v>309</v>
      </c>
      <c r="N262" s="377" t="s">
        <v>310</v>
      </c>
      <c r="O262" s="376"/>
      <c r="P262" s="376"/>
      <c r="Q262" s="98"/>
      <c r="R262" s="98"/>
      <c r="S262" s="98"/>
      <c r="T262" s="98"/>
      <c r="U262" s="98"/>
      <c r="V262" s="98"/>
      <c r="W262" s="98"/>
      <c r="X262" s="98"/>
      <c r="Y262" s="98"/>
      <c r="Z262" s="98"/>
    </row>
    <row r="263" spans="1:26">
      <c r="A263" s="2871" t="s">
        <v>32</v>
      </c>
      <c r="B263" s="2872">
        <v>2019</v>
      </c>
      <c r="C263" s="2873">
        <f>SUM(C202)</f>
        <v>210899</v>
      </c>
      <c r="D263" s="2873">
        <f>SUM(C202:D202)</f>
        <v>400661</v>
      </c>
      <c r="E263" s="2873">
        <f>SUM(C202:E202)</f>
        <v>610528</v>
      </c>
      <c r="F263" s="2873">
        <f>SUM(C202:F202)</f>
        <v>812372</v>
      </c>
      <c r="G263" s="2873">
        <f>SUM(C202:G202)</f>
        <v>1016142</v>
      </c>
      <c r="H263" s="2873">
        <f>SUM(C202:H202)</f>
        <v>1229606</v>
      </c>
      <c r="I263" s="2873">
        <f>SUM(C202:I202)</f>
        <v>1460405</v>
      </c>
      <c r="J263" s="2873">
        <f>SUM(C202:J202)</f>
        <v>1702452</v>
      </c>
      <c r="K263" s="2873">
        <f>SUM(C202:K202)</f>
        <v>1909425</v>
      </c>
      <c r="L263" s="2873">
        <f>SUM(C202:L202)</f>
        <v>2088093</v>
      </c>
      <c r="M263" s="2873">
        <f>SUM(C202:M202)</f>
        <v>2290399</v>
      </c>
      <c r="N263" s="2873">
        <f>SUM(C202:N202)</f>
        <v>2502789</v>
      </c>
      <c r="O263" s="2871"/>
      <c r="P263" s="2871"/>
      <c r="Q263" s="2874"/>
      <c r="R263" s="2874"/>
      <c r="S263" s="2874"/>
      <c r="T263" s="2874"/>
      <c r="U263" s="2874"/>
      <c r="V263" s="2874"/>
      <c r="W263" s="2874"/>
      <c r="X263" s="2874"/>
      <c r="Y263" s="2874"/>
      <c r="Z263" s="2874"/>
    </row>
    <row r="264" spans="1:26">
      <c r="A264" s="2866" t="s">
        <v>32</v>
      </c>
      <c r="B264" s="2867">
        <v>2020</v>
      </c>
      <c r="C264" s="2868">
        <f>SUM(C214)</f>
        <v>202257</v>
      </c>
      <c r="D264" s="2868">
        <f>SUM(C214:D214)</f>
        <v>398323</v>
      </c>
      <c r="E264" s="2868">
        <f>SUM(C214:E214)</f>
        <v>493097</v>
      </c>
      <c r="F264" s="2868">
        <f>SUM(C214:F214)</f>
        <v>496382</v>
      </c>
      <c r="G264" s="2868">
        <f>SUM(C214:G214)</f>
        <v>501903</v>
      </c>
      <c r="H264" s="2868">
        <f>SUM(C214:H214)</f>
        <v>511569</v>
      </c>
      <c r="I264" s="2868">
        <f>SUM(C214:I214)</f>
        <v>529789</v>
      </c>
      <c r="J264" s="2868">
        <f>SUM(C214:J214)</f>
        <v>549662</v>
      </c>
      <c r="K264" s="2868">
        <f>SUM(C214:K214)</f>
        <v>577842</v>
      </c>
      <c r="L264" s="2868">
        <f>SUM(C214:L214)</f>
        <v>621198</v>
      </c>
      <c r="M264" s="2868">
        <f>SUM(C214:M214)</f>
        <v>673377</v>
      </c>
      <c r="N264" s="2868">
        <f>SUM(C214:N214)</f>
        <v>748296</v>
      </c>
      <c r="O264" s="2866"/>
      <c r="P264" s="2866"/>
      <c r="Q264" s="2869"/>
      <c r="R264" s="2869"/>
      <c r="S264" s="2869"/>
      <c r="T264" s="2869"/>
      <c r="U264" s="2869"/>
      <c r="V264" s="2869"/>
      <c r="W264" s="2869"/>
      <c r="X264" s="2869"/>
      <c r="Y264" s="2869"/>
      <c r="Z264" s="2869"/>
    </row>
    <row r="265" spans="1:26">
      <c r="A265" s="3640" t="s">
        <v>32</v>
      </c>
      <c r="B265" s="3641">
        <v>2021</v>
      </c>
      <c r="C265" s="2870">
        <f>SUM(C226)</f>
        <v>53113</v>
      </c>
      <c r="D265" s="2870">
        <f>SUM(C226:D226)</f>
        <v>100361</v>
      </c>
      <c r="E265" s="2870">
        <f>SUM(C226:E226)</f>
        <v>161200</v>
      </c>
      <c r="F265" s="2870">
        <f>SUM(C226:F226)</f>
        <v>217636</v>
      </c>
      <c r="G265" s="2870">
        <f>SUM(C226:G226)</f>
        <v>287238</v>
      </c>
      <c r="H265" s="2870">
        <f>SUM(C226:H226)</f>
        <v>380758</v>
      </c>
      <c r="I265" s="2870">
        <f>SUM(C226:I226)</f>
        <v>503646</v>
      </c>
      <c r="J265" s="2870">
        <f>SUM(C226:J226)</f>
        <v>625880</v>
      </c>
      <c r="K265" s="2870">
        <f>SUM(C226:K226)</f>
        <v>742629</v>
      </c>
      <c r="L265" s="2870">
        <f>SUM(C226:L226)</f>
        <v>870733</v>
      </c>
      <c r="M265" s="2870">
        <f>SUM(C226:M226)</f>
        <v>1008626</v>
      </c>
      <c r="N265" s="2870">
        <f>SUM(C226:N226)</f>
        <v>1153666</v>
      </c>
      <c r="O265" s="3640"/>
      <c r="P265" s="3640"/>
      <c r="Q265" s="3640"/>
      <c r="R265" s="3640"/>
      <c r="S265" s="3640"/>
      <c r="T265" s="3640"/>
      <c r="U265" s="3640"/>
      <c r="V265" s="3640"/>
      <c r="W265" s="3640"/>
      <c r="X265" s="3640"/>
      <c r="Y265" s="3640"/>
      <c r="Z265" s="3640"/>
    </row>
    <row r="266" spans="1:26">
      <c r="A266" s="4484" t="s">
        <v>32</v>
      </c>
      <c r="B266" s="4490">
        <v>2022</v>
      </c>
      <c r="C266" s="4741">
        <f>SUM(C237)</f>
        <v>107695</v>
      </c>
      <c r="D266" s="4741">
        <f>SUM(C237:D237)</f>
        <v>231442</v>
      </c>
      <c r="E266" s="4741">
        <f>SUM(C237:E237)</f>
        <v>394510</v>
      </c>
      <c r="F266" s="4741">
        <f>SUM(C237:F237)</f>
        <v>573324</v>
      </c>
      <c r="G266" s="4741">
        <f>SUM(C237:G237)</f>
        <v>760593</v>
      </c>
      <c r="H266" s="4741">
        <f>SUM(C237:H237)</f>
        <v>760593</v>
      </c>
      <c r="I266" s="4741">
        <f>SUM(C237:I237)</f>
        <v>760593</v>
      </c>
      <c r="J266" s="4741">
        <f>SUM(C237:J237)</f>
        <v>760593</v>
      </c>
      <c r="K266" s="4741">
        <f>SUM(C237:K237)</f>
        <v>760593</v>
      </c>
      <c r="L266" s="4741">
        <f>SUM(C237:L237)</f>
        <v>760593</v>
      </c>
      <c r="M266" s="4741">
        <f>SUM(C237:M237)</f>
        <v>760593</v>
      </c>
      <c r="N266" s="4741">
        <f>SUM(C237:N237)</f>
        <v>760593</v>
      </c>
      <c r="O266" s="4484"/>
      <c r="P266" s="4484"/>
      <c r="Q266" s="4484"/>
      <c r="R266" s="4484"/>
      <c r="S266" s="4484"/>
      <c r="T266" s="4484"/>
      <c r="U266" s="4484"/>
      <c r="V266" s="4484"/>
      <c r="W266" s="4484"/>
      <c r="X266" s="4484"/>
      <c r="Y266" s="4484"/>
      <c r="Z266" s="4484"/>
    </row>
    <row r="267" spans="1:26" ht="28.8">
      <c r="A267" s="150"/>
      <c r="B267" s="378" t="s">
        <v>1091</v>
      </c>
      <c r="C267" s="638">
        <f>C266/C265-1</f>
        <v>1.0276580121627474</v>
      </c>
      <c r="D267" s="638">
        <f>D266/D265-1</f>
        <v>1.3060949970606113</v>
      </c>
      <c r="E267" s="638">
        <f>E266/E265-1</f>
        <v>1.4473325062034741</v>
      </c>
      <c r="F267" s="638">
        <f>F266/F265-1</f>
        <v>1.6343252035508833</v>
      </c>
      <c r="G267" s="638">
        <f>IF(G237="","",G266/G265-1)</f>
        <v>1.6479539615231968</v>
      </c>
      <c r="H267" s="647" t="str">
        <f t="shared" ref="H267:N267" si="91">IF(H237="","",H266/H265-1)</f>
        <v/>
      </c>
      <c r="I267" s="647" t="str">
        <f t="shared" si="91"/>
        <v/>
      </c>
      <c r="J267" s="647" t="str">
        <f t="shared" si="91"/>
        <v/>
      </c>
      <c r="K267" s="647" t="str">
        <f t="shared" si="91"/>
        <v/>
      </c>
      <c r="L267" s="647" t="str">
        <f t="shared" si="91"/>
        <v/>
      </c>
      <c r="M267" s="647" t="str">
        <f t="shared" si="91"/>
        <v/>
      </c>
      <c r="N267" s="647" t="str">
        <f t="shared" si="91"/>
        <v/>
      </c>
      <c r="O267" s="379"/>
      <c r="P267" s="379"/>
      <c r="Q267" s="375"/>
      <c r="R267" s="375"/>
      <c r="S267" s="375"/>
      <c r="T267" s="375"/>
      <c r="U267" s="375"/>
      <c r="V267" s="375"/>
      <c r="W267" s="375"/>
      <c r="X267" s="375"/>
      <c r="Y267" s="375"/>
      <c r="Z267" s="375"/>
    </row>
    <row r="268" spans="1:26">
      <c r="A268" s="56"/>
      <c r="B268" s="56"/>
      <c r="C268" s="112"/>
      <c r="D268" s="112"/>
      <c r="E268" s="112"/>
      <c r="F268" s="112"/>
      <c r="G268" s="112"/>
      <c r="H268" s="56"/>
      <c r="I268" s="56"/>
      <c r="J268" s="56"/>
      <c r="K268" s="56"/>
      <c r="L268" s="56"/>
      <c r="M268" s="56"/>
      <c r="N268" s="56"/>
      <c r="O268" s="56"/>
      <c r="P268" s="56"/>
      <c r="Q268" s="98"/>
      <c r="R268" s="98"/>
      <c r="S268" s="98"/>
      <c r="T268" s="98"/>
      <c r="U268" s="98"/>
      <c r="V268" s="98"/>
      <c r="W268" s="98"/>
      <c r="X268" s="98"/>
      <c r="Y268" s="98"/>
      <c r="Z268" s="98"/>
    </row>
    <row r="269" spans="1:26">
      <c r="A269" s="5448" t="s">
        <v>1497</v>
      </c>
      <c r="B269" s="5448"/>
      <c r="C269" s="4493">
        <f>C265/C263-1</f>
        <v>-0.7481590714038473</v>
      </c>
      <c r="D269" s="4493">
        <f t="shared" ref="D269:N269" si="92">D265/D263-1</f>
        <v>-0.74951143235802831</v>
      </c>
      <c r="E269" s="4493">
        <f t="shared" si="92"/>
        <v>-0.73596624561035695</v>
      </c>
      <c r="F269" s="4493">
        <f t="shared" si="92"/>
        <v>-0.73209810283958587</v>
      </c>
      <c r="G269" s="4493">
        <f t="shared" si="92"/>
        <v>-0.71732494080551734</v>
      </c>
      <c r="H269" s="4493">
        <f t="shared" si="92"/>
        <v>-0.6903414589714103</v>
      </c>
      <c r="I269" s="4493">
        <f t="shared" si="92"/>
        <v>-0.65513265155898537</v>
      </c>
      <c r="J269" s="4493">
        <f t="shared" si="92"/>
        <v>-0.6323655527439247</v>
      </c>
      <c r="K269" s="4493">
        <f t="shared" si="92"/>
        <v>-0.61107191955693474</v>
      </c>
      <c r="L269" s="4493">
        <f t="shared" si="92"/>
        <v>-0.58300085293135884</v>
      </c>
      <c r="M269" s="4493">
        <f t="shared" si="92"/>
        <v>-0.55962869351584588</v>
      </c>
      <c r="N269" s="4493">
        <f t="shared" si="92"/>
        <v>-0.5390478382316688</v>
      </c>
      <c r="O269" s="2872"/>
      <c r="P269" s="2872"/>
      <c r="Q269" s="2875"/>
      <c r="R269" s="2875"/>
      <c r="S269" s="2875"/>
      <c r="T269" s="2875"/>
      <c r="U269" s="2875"/>
      <c r="V269" s="2875"/>
      <c r="W269" s="2875"/>
      <c r="X269" s="2875"/>
      <c r="Y269" s="2875"/>
      <c r="Z269" s="2875"/>
    </row>
    <row r="270" spans="1:26">
      <c r="A270" s="5447" t="s">
        <v>1879</v>
      </c>
      <c r="B270" s="5447"/>
      <c r="C270" s="4494">
        <f>C266/C263-1</f>
        <v>-0.4893527233415047</v>
      </c>
      <c r="D270" s="4494">
        <f t="shared" ref="D270:N270" si="93">D266/D263-1</f>
        <v>-0.42234956733997064</v>
      </c>
      <c r="E270" s="4494">
        <f t="shared" si="93"/>
        <v>-0.35382161014728231</v>
      </c>
      <c r="F270" s="4494">
        <f t="shared" si="93"/>
        <v>-0.29425928023122416</v>
      </c>
      <c r="G270" s="4494">
        <f t="shared" si="93"/>
        <v>-0.25148945718216553</v>
      </c>
      <c r="H270" s="4494">
        <f t="shared" si="93"/>
        <v>-0.38143356489802427</v>
      </c>
      <c r="I270" s="4494">
        <f t="shared" si="93"/>
        <v>-0.4791903615777815</v>
      </c>
      <c r="J270" s="4494">
        <f t="shared" si="93"/>
        <v>-0.55323674323857586</v>
      </c>
      <c r="K270" s="4494">
        <f t="shared" si="93"/>
        <v>-0.60166385168309833</v>
      </c>
      <c r="L270" s="4494">
        <f t="shared" si="93"/>
        <v>-0.63574754572712999</v>
      </c>
      <c r="M270" s="4494">
        <f t="shared" si="93"/>
        <v>-0.66792117879897783</v>
      </c>
      <c r="N270" s="4494">
        <f t="shared" si="93"/>
        <v>-0.69610182879979088</v>
      </c>
      <c r="O270" s="4491"/>
      <c r="P270" s="4491"/>
      <c r="Q270" s="4492"/>
      <c r="R270" s="4492"/>
      <c r="S270" s="4492"/>
      <c r="T270" s="4492"/>
      <c r="U270" s="4492"/>
      <c r="V270" s="4492"/>
      <c r="W270" s="4492"/>
      <c r="X270" s="4492"/>
      <c r="Y270" s="4492"/>
      <c r="Z270" s="4492"/>
    </row>
    <row r="271" spans="1:26">
      <c r="A271" s="56"/>
      <c r="B271" s="56"/>
      <c r="C271" s="112"/>
      <c r="D271" s="56"/>
      <c r="E271" s="112"/>
      <c r="F271" s="112"/>
      <c r="G271" s="112"/>
      <c r="H271" s="56"/>
      <c r="I271" s="112"/>
      <c r="J271" s="112"/>
      <c r="K271" s="56"/>
      <c r="L271" s="56"/>
      <c r="M271" s="112"/>
      <c r="N271" s="56"/>
      <c r="O271" s="56"/>
      <c r="P271" s="56"/>
      <c r="Q271" s="98"/>
      <c r="R271" s="98"/>
      <c r="S271" s="98"/>
      <c r="T271" s="98"/>
      <c r="U271" s="98"/>
      <c r="V271" s="98"/>
      <c r="W271" s="98"/>
      <c r="X271" s="98"/>
      <c r="Y271" s="98"/>
      <c r="Z271" s="98"/>
    </row>
    <row r="272" spans="1:26">
      <c r="A272" s="56"/>
      <c r="B272" s="56"/>
      <c r="C272" s="112"/>
      <c r="D272" s="56"/>
      <c r="E272" s="112"/>
      <c r="F272" s="112"/>
      <c r="G272" s="112"/>
      <c r="H272" s="56"/>
      <c r="I272" s="112"/>
      <c r="J272" s="112"/>
      <c r="K272" s="56"/>
      <c r="L272" s="56"/>
      <c r="M272" s="112"/>
      <c r="N272" s="56"/>
      <c r="O272" s="56"/>
      <c r="P272" s="56"/>
      <c r="Q272" s="98"/>
      <c r="R272" s="98"/>
      <c r="S272" s="98"/>
      <c r="T272" s="98"/>
      <c r="U272" s="98"/>
      <c r="V272" s="98"/>
      <c r="W272" s="98"/>
      <c r="X272" s="98"/>
      <c r="Y272" s="98"/>
      <c r="Z272" s="98"/>
    </row>
    <row r="273" spans="1:26">
      <c r="A273" s="56"/>
      <c r="B273" s="56"/>
      <c r="C273" s="56"/>
      <c r="D273" s="56"/>
      <c r="E273" s="112"/>
      <c r="F273" s="112"/>
      <c r="G273" s="112"/>
      <c r="H273" s="56"/>
      <c r="I273" s="112"/>
      <c r="J273" s="112"/>
      <c r="K273" s="56"/>
      <c r="L273" s="56"/>
      <c r="M273" s="56"/>
      <c r="N273" s="56"/>
      <c r="O273" s="56"/>
      <c r="P273" s="56"/>
      <c r="Q273" s="98"/>
      <c r="R273" s="98"/>
      <c r="S273" s="98"/>
      <c r="T273" s="98"/>
      <c r="U273" s="98"/>
      <c r="V273" s="98"/>
      <c r="W273" s="98"/>
      <c r="X273" s="98"/>
      <c r="Y273" s="98"/>
      <c r="Z273" s="98"/>
    </row>
    <row r="274" spans="1:26">
      <c r="A274" s="56"/>
      <c r="B274" s="56"/>
      <c r="C274" s="56"/>
      <c r="D274" s="56"/>
      <c r="E274" s="56"/>
      <c r="F274" s="56"/>
      <c r="G274" s="112"/>
      <c r="H274" s="56"/>
      <c r="I274" s="56"/>
      <c r="J274" s="56"/>
      <c r="K274" s="56"/>
      <c r="L274" s="56"/>
      <c r="M274" s="56"/>
      <c r="N274" s="56"/>
      <c r="O274" s="56"/>
      <c r="P274" s="56"/>
      <c r="Q274" s="98"/>
      <c r="R274" s="98"/>
      <c r="S274" s="98"/>
      <c r="T274" s="98"/>
      <c r="U274" s="98"/>
      <c r="V274" s="98"/>
      <c r="W274" s="98"/>
      <c r="X274" s="98"/>
      <c r="Y274" s="98"/>
      <c r="Z274" s="98"/>
    </row>
    <row r="275" spans="1:26">
      <c r="A275" s="56"/>
      <c r="B275" s="56"/>
      <c r="C275" s="56"/>
      <c r="D275" s="56"/>
      <c r="E275" s="56"/>
      <c r="F275" s="56"/>
      <c r="G275" s="111"/>
      <c r="H275" s="56"/>
      <c r="I275" s="111"/>
      <c r="J275" s="111"/>
      <c r="K275" s="56"/>
      <c r="L275" s="56"/>
      <c r="M275" s="56"/>
      <c r="N275" s="56"/>
      <c r="O275" s="56"/>
      <c r="P275" s="56"/>
      <c r="Q275" s="98"/>
      <c r="R275" s="98"/>
      <c r="S275" s="98"/>
      <c r="T275" s="98"/>
      <c r="U275" s="98"/>
      <c r="V275" s="98"/>
      <c r="W275" s="98"/>
      <c r="X275" s="98"/>
      <c r="Y275" s="98"/>
      <c r="Z275" s="98"/>
    </row>
    <row r="276" spans="1:26">
      <c r="A276" s="56"/>
      <c r="B276" s="56"/>
      <c r="C276" s="56"/>
      <c r="D276" s="56"/>
      <c r="E276" s="56"/>
      <c r="F276" s="56"/>
      <c r="G276" s="56"/>
      <c r="H276" s="56"/>
      <c r="I276" s="111"/>
      <c r="J276" s="111"/>
      <c r="K276" s="56"/>
      <c r="L276" s="56"/>
      <c r="M276" s="56"/>
      <c r="N276" s="56"/>
      <c r="O276" s="56"/>
      <c r="P276" s="56"/>
      <c r="Q276" s="98"/>
      <c r="R276" s="98"/>
      <c r="S276" s="98"/>
      <c r="T276" s="98"/>
      <c r="U276" s="98"/>
      <c r="V276" s="98"/>
      <c r="W276" s="98"/>
      <c r="X276" s="98"/>
      <c r="Y276" s="98"/>
      <c r="Z276" s="98"/>
    </row>
    <row r="277" spans="1:26">
      <c r="A277" s="56"/>
      <c r="B277" s="56"/>
      <c r="C277" s="56"/>
      <c r="D277" s="56"/>
      <c r="E277" s="56"/>
      <c r="F277" s="56"/>
      <c r="G277" s="56"/>
      <c r="H277" s="56"/>
      <c r="I277" s="111"/>
      <c r="J277" s="111"/>
      <c r="K277" s="114"/>
      <c r="L277" s="56"/>
      <c r="M277" s="113"/>
      <c r="N277" s="56"/>
      <c r="O277" s="56"/>
      <c r="P277" s="56"/>
      <c r="Q277" s="98"/>
      <c r="R277" s="98"/>
      <c r="S277" s="98"/>
      <c r="T277" s="98"/>
      <c r="U277" s="98"/>
      <c r="V277" s="98"/>
      <c r="W277" s="98"/>
      <c r="X277" s="98"/>
      <c r="Y277" s="98"/>
      <c r="Z277" s="98"/>
    </row>
    <row r="278" spans="1:26">
      <c r="A278" s="56"/>
      <c r="B278" s="56"/>
      <c r="C278" s="56"/>
      <c r="D278" s="56"/>
      <c r="E278" s="56"/>
      <c r="F278" s="56"/>
      <c r="G278" s="56"/>
      <c r="H278" s="56"/>
      <c r="I278" s="56"/>
      <c r="J278" s="56"/>
      <c r="K278" s="56"/>
      <c r="L278" s="56"/>
      <c r="M278" s="56"/>
      <c r="N278" s="56"/>
      <c r="O278" s="56"/>
      <c r="P278" s="56"/>
      <c r="Q278" s="98"/>
      <c r="R278" s="98"/>
      <c r="S278" s="98"/>
      <c r="T278" s="98"/>
      <c r="U278" s="98"/>
      <c r="V278" s="98"/>
      <c r="W278" s="98"/>
      <c r="X278" s="98"/>
      <c r="Y278" s="98"/>
      <c r="Z278" s="98"/>
    </row>
    <row r="279" spans="1:26">
      <c r="A279" s="56"/>
      <c r="B279" s="56"/>
      <c r="C279" s="56"/>
      <c r="D279" s="56"/>
      <c r="E279" s="56"/>
      <c r="F279" s="56"/>
      <c r="G279" s="56"/>
      <c r="H279" s="56"/>
      <c r="I279" s="112"/>
      <c r="J279" s="112"/>
      <c r="K279" s="56"/>
      <c r="L279" s="56"/>
      <c r="M279" s="56"/>
      <c r="N279" s="56"/>
      <c r="O279" s="56"/>
      <c r="P279" s="56"/>
      <c r="Q279" s="98"/>
      <c r="R279" s="98"/>
      <c r="S279" s="98"/>
      <c r="T279" s="98"/>
      <c r="U279" s="98"/>
      <c r="V279" s="98"/>
      <c r="W279" s="98"/>
      <c r="X279" s="98"/>
      <c r="Y279" s="98"/>
      <c r="Z279" s="98"/>
    </row>
    <row r="280" spans="1:26">
      <c r="A280" s="56"/>
      <c r="B280" s="56"/>
      <c r="C280" s="56"/>
      <c r="D280" s="56"/>
      <c r="E280" s="56"/>
      <c r="F280" s="56"/>
      <c r="G280" s="56"/>
      <c r="H280" s="56"/>
      <c r="I280" s="56"/>
      <c r="J280" s="56"/>
      <c r="K280" s="56"/>
      <c r="L280" s="56"/>
      <c r="M280" s="56"/>
      <c r="N280" s="56"/>
      <c r="O280" s="56"/>
      <c r="P280" s="56"/>
      <c r="Q280" s="98"/>
      <c r="R280" s="98"/>
      <c r="S280" s="98"/>
      <c r="T280" s="98"/>
      <c r="U280" s="98"/>
      <c r="V280" s="98"/>
      <c r="W280" s="98"/>
      <c r="X280" s="98"/>
      <c r="Y280" s="98"/>
      <c r="Z280" s="98"/>
    </row>
    <row r="281" spans="1:26">
      <c r="A281" s="56"/>
      <c r="B281" s="56"/>
      <c r="C281" s="56"/>
      <c r="D281" s="56"/>
      <c r="E281" s="56"/>
      <c r="F281" s="56"/>
      <c r="G281" s="56"/>
      <c r="H281" s="56"/>
      <c r="I281" s="56"/>
      <c r="J281" s="56"/>
      <c r="K281" s="56"/>
      <c r="L281" s="56"/>
      <c r="M281" s="56"/>
      <c r="N281" s="56"/>
      <c r="O281" s="56"/>
      <c r="P281" s="56"/>
      <c r="Q281" s="98"/>
      <c r="R281" s="98"/>
      <c r="S281" s="98"/>
      <c r="T281" s="98"/>
      <c r="U281" s="98"/>
      <c r="V281" s="98"/>
      <c r="W281" s="98"/>
      <c r="X281" s="98"/>
      <c r="Y281" s="98"/>
      <c r="Z281" s="98"/>
    </row>
    <row r="282" spans="1:26">
      <c r="A282" s="56"/>
      <c r="B282" s="56"/>
      <c r="C282" s="56"/>
      <c r="D282" s="56"/>
      <c r="E282" s="56"/>
      <c r="F282" s="56"/>
      <c r="G282" s="56"/>
      <c r="H282" s="56"/>
      <c r="I282" s="56"/>
      <c r="J282" s="56"/>
      <c r="K282" s="56"/>
      <c r="L282" s="56"/>
      <c r="M282" s="56"/>
      <c r="N282" s="56"/>
      <c r="O282" s="56"/>
      <c r="P282" s="56"/>
      <c r="Q282" s="98"/>
      <c r="R282" s="98"/>
      <c r="S282" s="98"/>
      <c r="T282" s="98"/>
      <c r="U282" s="98"/>
      <c r="V282" s="98"/>
      <c r="W282" s="98"/>
      <c r="X282" s="98"/>
      <c r="Y282" s="98"/>
      <c r="Z282" s="98"/>
    </row>
    <row r="283" spans="1:26">
      <c r="A283" s="56"/>
      <c r="B283" s="56"/>
      <c r="C283" s="56"/>
      <c r="D283" s="56"/>
      <c r="E283" s="56"/>
      <c r="F283" s="56"/>
      <c r="G283" s="56"/>
      <c r="H283" s="56"/>
      <c r="I283" s="56"/>
      <c r="J283" s="56"/>
      <c r="K283" s="56"/>
      <c r="L283" s="56"/>
      <c r="M283" s="56"/>
      <c r="N283" s="56"/>
      <c r="O283" s="56"/>
      <c r="P283" s="56"/>
      <c r="Q283" s="98"/>
      <c r="R283" s="98"/>
      <c r="S283" s="98"/>
      <c r="T283" s="98"/>
      <c r="U283" s="98"/>
      <c r="V283" s="98"/>
      <c r="W283" s="98"/>
      <c r="X283" s="98"/>
      <c r="Y283" s="98"/>
      <c r="Z283" s="98"/>
    </row>
    <row r="284" spans="1:26">
      <c r="A284" s="56"/>
      <c r="B284" s="56"/>
      <c r="C284" s="56"/>
      <c r="D284" s="56"/>
      <c r="E284" s="56"/>
      <c r="F284" s="56"/>
      <c r="G284" s="56"/>
      <c r="H284" s="56"/>
      <c r="I284" s="56"/>
      <c r="J284" s="56"/>
      <c r="K284" s="56"/>
      <c r="L284" s="56"/>
      <c r="M284" s="56"/>
      <c r="N284" s="56"/>
      <c r="O284" s="56"/>
      <c r="P284" s="56"/>
      <c r="Q284" s="98"/>
      <c r="R284" s="98"/>
      <c r="S284" s="98"/>
      <c r="T284" s="98"/>
      <c r="U284" s="98"/>
      <c r="V284" s="98"/>
      <c r="W284" s="98"/>
      <c r="X284" s="98"/>
      <c r="Y284" s="98"/>
      <c r="Z284" s="98"/>
    </row>
    <row r="285" spans="1:26">
      <c r="A285" s="56"/>
      <c r="B285" s="56"/>
      <c r="C285" s="56"/>
      <c r="D285" s="56"/>
      <c r="E285" s="56"/>
      <c r="F285" s="56"/>
      <c r="G285" s="56"/>
      <c r="H285" s="56"/>
      <c r="I285" s="56"/>
      <c r="J285" s="56"/>
      <c r="K285" s="56"/>
      <c r="L285" s="56"/>
      <c r="M285" s="56"/>
      <c r="N285" s="56"/>
      <c r="O285" s="56"/>
      <c r="P285" s="56"/>
      <c r="Q285" s="98"/>
      <c r="R285" s="98"/>
      <c r="S285" s="98"/>
      <c r="T285" s="98"/>
      <c r="U285" s="98"/>
      <c r="V285" s="98"/>
      <c r="W285" s="98"/>
      <c r="X285" s="98"/>
      <c r="Y285" s="98"/>
      <c r="Z285" s="98"/>
    </row>
    <row r="286" spans="1:26">
      <c r="A286" s="56"/>
      <c r="B286" s="56"/>
      <c r="C286" s="56"/>
      <c r="D286" s="56"/>
      <c r="E286" s="56"/>
      <c r="F286" s="56"/>
      <c r="G286" s="56"/>
      <c r="H286" s="56"/>
      <c r="I286" s="56"/>
      <c r="J286" s="56"/>
      <c r="K286" s="56"/>
      <c r="L286" s="56"/>
      <c r="M286" s="56"/>
      <c r="N286" s="56"/>
      <c r="O286" s="56"/>
      <c r="P286" s="56"/>
      <c r="Q286" s="98"/>
      <c r="R286" s="98"/>
      <c r="S286" s="98"/>
      <c r="T286" s="98"/>
      <c r="U286" s="98"/>
      <c r="V286" s="98"/>
      <c r="W286" s="98"/>
      <c r="X286" s="98"/>
      <c r="Y286" s="98"/>
      <c r="Z286" s="98"/>
    </row>
    <row r="287" spans="1:26">
      <c r="A287" s="56"/>
      <c r="B287" s="56"/>
      <c r="C287" s="56"/>
      <c r="D287" s="56"/>
      <c r="E287" s="56"/>
      <c r="F287" s="56"/>
      <c r="G287" s="56"/>
      <c r="H287" s="56"/>
      <c r="I287" s="56"/>
      <c r="J287" s="56"/>
      <c r="K287" s="56"/>
      <c r="L287" s="56"/>
      <c r="M287" s="56"/>
      <c r="N287" s="56"/>
      <c r="O287" s="56"/>
      <c r="P287" s="56"/>
      <c r="Q287" s="98"/>
      <c r="R287" s="98"/>
      <c r="S287" s="98"/>
      <c r="T287" s="98"/>
      <c r="U287" s="98"/>
      <c r="V287" s="98"/>
      <c r="W287" s="98"/>
      <c r="X287" s="98"/>
      <c r="Y287" s="98"/>
      <c r="Z287" s="98"/>
    </row>
    <row r="288" spans="1:26">
      <c r="A288" s="56"/>
      <c r="B288" s="56"/>
      <c r="C288" s="56"/>
      <c r="D288" s="56"/>
      <c r="E288" s="56"/>
      <c r="F288" s="56"/>
      <c r="G288" s="56"/>
      <c r="H288" s="56"/>
      <c r="I288" s="56"/>
      <c r="J288" s="56"/>
      <c r="K288" s="56"/>
      <c r="L288" s="56"/>
      <c r="M288" s="56"/>
      <c r="N288" s="56"/>
      <c r="O288" s="56"/>
      <c r="P288" s="56"/>
      <c r="Q288" s="98"/>
      <c r="R288" s="98"/>
      <c r="S288" s="98"/>
      <c r="T288" s="98"/>
      <c r="U288" s="98"/>
      <c r="V288" s="98"/>
      <c r="W288" s="98"/>
      <c r="X288" s="98"/>
      <c r="Y288" s="98"/>
      <c r="Z288" s="98"/>
    </row>
    <row r="289" spans="1:26">
      <c r="A289" s="56"/>
      <c r="B289" s="56"/>
      <c r="C289" s="56"/>
      <c r="D289" s="56"/>
      <c r="E289" s="56"/>
      <c r="F289" s="56"/>
      <c r="G289" s="56"/>
      <c r="H289" s="56"/>
      <c r="I289" s="56"/>
      <c r="J289" s="56"/>
      <c r="K289" s="56"/>
      <c r="L289" s="56"/>
      <c r="M289" s="56"/>
      <c r="N289" s="56"/>
      <c r="O289" s="56"/>
      <c r="P289" s="56"/>
      <c r="Q289" s="98"/>
      <c r="R289" s="98"/>
      <c r="S289" s="98"/>
      <c r="T289" s="98"/>
      <c r="U289" s="98"/>
      <c r="V289" s="98"/>
      <c r="W289" s="98"/>
      <c r="X289" s="98"/>
      <c r="Y289" s="98"/>
      <c r="Z289" s="98"/>
    </row>
    <row r="290" spans="1:26">
      <c r="A290" s="56"/>
      <c r="B290" s="56"/>
      <c r="C290" s="56"/>
      <c r="D290" s="56"/>
      <c r="E290" s="56"/>
      <c r="F290" s="56"/>
      <c r="G290" s="56"/>
      <c r="H290" s="56"/>
      <c r="I290" s="56"/>
      <c r="J290" s="56"/>
      <c r="K290" s="56"/>
      <c r="L290" s="56"/>
      <c r="M290" s="56"/>
      <c r="N290" s="56"/>
      <c r="O290" s="56"/>
      <c r="P290" s="56"/>
      <c r="Q290" s="98"/>
      <c r="R290" s="98"/>
      <c r="S290" s="98"/>
      <c r="T290" s="98"/>
      <c r="U290" s="98"/>
      <c r="V290" s="98"/>
      <c r="W290" s="98"/>
      <c r="X290" s="98"/>
      <c r="Y290" s="98"/>
      <c r="Z290" s="98"/>
    </row>
    <row r="291" spans="1:26">
      <c r="A291" s="56"/>
      <c r="B291" s="56"/>
      <c r="C291" s="56"/>
      <c r="D291" s="56"/>
      <c r="E291" s="56"/>
      <c r="F291" s="56"/>
      <c r="G291" s="56"/>
      <c r="H291" s="56"/>
      <c r="I291" s="56"/>
      <c r="J291" s="56"/>
      <c r="K291" s="56"/>
      <c r="L291" s="56"/>
      <c r="M291" s="56"/>
      <c r="N291" s="56"/>
      <c r="O291" s="56"/>
      <c r="P291" s="56"/>
      <c r="Q291" s="98"/>
      <c r="R291" s="98"/>
      <c r="S291" s="98"/>
      <c r="T291" s="98"/>
      <c r="U291" s="98"/>
      <c r="V291" s="98"/>
      <c r="W291" s="98"/>
      <c r="X291" s="98"/>
      <c r="Y291" s="98"/>
      <c r="Z291" s="98"/>
    </row>
    <row r="292" spans="1:26">
      <c r="A292" s="56"/>
      <c r="B292" s="56"/>
      <c r="C292" s="56"/>
      <c r="D292" s="56"/>
      <c r="E292" s="56"/>
      <c r="F292" s="56"/>
      <c r="G292" s="56"/>
      <c r="H292" s="56"/>
      <c r="I292" s="56"/>
      <c r="J292" s="56"/>
      <c r="K292" s="56"/>
      <c r="L292" s="56"/>
      <c r="M292" s="56"/>
      <c r="N292" s="56"/>
      <c r="O292" s="56"/>
      <c r="P292" s="56"/>
      <c r="Q292" s="98"/>
      <c r="R292" s="98"/>
      <c r="S292" s="98"/>
      <c r="T292" s="98"/>
      <c r="U292" s="98"/>
      <c r="V292" s="98"/>
      <c r="W292" s="98"/>
      <c r="X292" s="98"/>
      <c r="Y292" s="98"/>
      <c r="Z292" s="98"/>
    </row>
    <row r="293" spans="1:26">
      <c r="A293" s="56"/>
      <c r="B293" s="56"/>
      <c r="C293" s="56"/>
      <c r="D293" s="56"/>
      <c r="E293" s="56"/>
      <c r="F293" s="56"/>
      <c r="G293" s="56"/>
      <c r="H293" s="56"/>
      <c r="I293" s="56"/>
      <c r="J293" s="56"/>
      <c r="K293" s="56"/>
      <c r="L293" s="56"/>
      <c r="M293" s="56"/>
      <c r="N293" s="56"/>
      <c r="O293" s="56"/>
      <c r="P293" s="56"/>
      <c r="Q293" s="98"/>
      <c r="R293" s="98"/>
      <c r="S293" s="98"/>
      <c r="T293" s="98"/>
      <c r="U293" s="98"/>
      <c r="V293" s="98"/>
      <c r="W293" s="98"/>
      <c r="X293" s="98"/>
      <c r="Y293" s="98"/>
      <c r="Z293" s="98"/>
    </row>
    <row r="294" spans="1:26">
      <c r="A294" s="56"/>
      <c r="B294" s="56"/>
      <c r="C294" s="56"/>
      <c r="D294" s="56"/>
      <c r="E294" s="56"/>
      <c r="F294" s="56"/>
      <c r="G294" s="56"/>
      <c r="H294" s="56"/>
      <c r="I294" s="56"/>
      <c r="J294" s="56"/>
      <c r="K294" s="56"/>
      <c r="L294" s="56"/>
      <c r="M294" s="56"/>
      <c r="N294" s="56"/>
      <c r="O294" s="56"/>
      <c r="P294" s="56"/>
      <c r="Q294" s="98"/>
      <c r="R294" s="98"/>
      <c r="S294" s="98"/>
      <c r="T294" s="98"/>
      <c r="U294" s="98"/>
      <c r="V294" s="98"/>
      <c r="W294" s="98"/>
      <c r="X294" s="98"/>
      <c r="Y294" s="98"/>
      <c r="Z294" s="98"/>
    </row>
    <row r="295" spans="1:26">
      <c r="A295" s="56"/>
      <c r="B295" s="56"/>
      <c r="C295" s="56"/>
      <c r="D295" s="56"/>
      <c r="E295" s="56"/>
      <c r="F295" s="56"/>
      <c r="G295" s="56"/>
      <c r="H295" s="56"/>
      <c r="I295" s="56"/>
      <c r="J295" s="56"/>
      <c r="K295" s="56"/>
      <c r="L295" s="56"/>
      <c r="M295" s="56"/>
      <c r="N295" s="56"/>
      <c r="O295" s="56"/>
      <c r="P295" s="56"/>
      <c r="Q295" s="98"/>
      <c r="R295" s="98"/>
      <c r="S295" s="98"/>
      <c r="T295" s="98"/>
      <c r="U295" s="98"/>
      <c r="V295" s="98"/>
      <c r="W295" s="98"/>
      <c r="X295" s="98"/>
      <c r="Y295" s="98"/>
      <c r="Z295" s="98"/>
    </row>
    <row r="296" spans="1:26">
      <c r="A296" s="56"/>
      <c r="B296" s="56"/>
      <c r="C296" s="56"/>
      <c r="D296" s="56"/>
      <c r="E296" s="56"/>
      <c r="F296" s="56"/>
      <c r="G296" s="56"/>
      <c r="H296" s="56"/>
      <c r="I296" s="56"/>
      <c r="J296" s="56"/>
      <c r="K296" s="56"/>
      <c r="L296" s="56"/>
      <c r="M296" s="56"/>
      <c r="N296" s="56"/>
      <c r="O296" s="56"/>
      <c r="P296" s="56"/>
      <c r="Q296" s="98"/>
      <c r="R296" s="98"/>
      <c r="S296" s="98"/>
      <c r="T296" s="98"/>
      <c r="U296" s="98"/>
      <c r="V296" s="98"/>
      <c r="W296" s="98"/>
      <c r="X296" s="98"/>
      <c r="Y296" s="98"/>
      <c r="Z296" s="98"/>
    </row>
    <row r="297" spans="1:26">
      <c r="A297" s="56"/>
      <c r="B297" s="56"/>
      <c r="C297" s="56"/>
      <c r="D297" s="56"/>
      <c r="E297" s="56"/>
      <c r="F297" s="56"/>
      <c r="G297" s="56"/>
      <c r="H297" s="56"/>
      <c r="I297" s="56"/>
      <c r="J297" s="56"/>
      <c r="K297" s="56"/>
      <c r="L297" s="56"/>
      <c r="M297" s="56"/>
      <c r="N297" s="56"/>
      <c r="O297" s="56"/>
      <c r="P297" s="56"/>
      <c r="Q297" s="98"/>
      <c r="R297" s="98"/>
      <c r="S297" s="98"/>
      <c r="T297" s="98"/>
      <c r="U297" s="98"/>
      <c r="V297" s="98"/>
      <c r="W297" s="98"/>
      <c r="X297" s="98"/>
      <c r="Y297" s="98"/>
      <c r="Z297" s="98"/>
    </row>
    <row r="298" spans="1:26">
      <c r="A298" s="56"/>
      <c r="B298" s="56"/>
      <c r="C298" s="56"/>
      <c r="D298" s="56"/>
      <c r="E298" s="56"/>
      <c r="F298" s="56"/>
      <c r="G298" s="56"/>
      <c r="H298" s="56"/>
      <c r="I298" s="56"/>
      <c r="J298" s="56"/>
      <c r="K298" s="56"/>
      <c r="L298" s="56"/>
      <c r="M298" s="56"/>
      <c r="N298" s="56"/>
      <c r="O298" s="56"/>
      <c r="P298" s="56"/>
      <c r="Q298" s="98"/>
      <c r="R298" s="98"/>
      <c r="S298" s="98"/>
      <c r="T298" s="98"/>
      <c r="U298" s="98"/>
      <c r="V298" s="98"/>
      <c r="W298" s="98"/>
      <c r="X298" s="98"/>
      <c r="Y298" s="98"/>
      <c r="Z298" s="98"/>
    </row>
    <row r="299" spans="1:26">
      <c r="A299" s="56"/>
      <c r="B299" s="56"/>
      <c r="C299" s="56"/>
      <c r="D299" s="56"/>
      <c r="E299" s="56"/>
      <c r="F299" s="56"/>
      <c r="G299" s="56"/>
      <c r="H299" s="56"/>
      <c r="I299" s="56"/>
      <c r="J299" s="56"/>
      <c r="K299" s="56"/>
      <c r="L299" s="56"/>
      <c r="M299" s="56"/>
      <c r="N299" s="56"/>
      <c r="O299" s="56"/>
      <c r="P299" s="56"/>
      <c r="Q299" s="98"/>
      <c r="R299" s="98"/>
      <c r="S299" s="98"/>
      <c r="T299" s="98"/>
      <c r="U299" s="98"/>
      <c r="V299" s="98"/>
      <c r="W299" s="98"/>
      <c r="X299" s="98"/>
      <c r="Y299" s="98"/>
      <c r="Z299" s="98"/>
    </row>
    <row r="300" spans="1:26">
      <c r="A300" s="56"/>
      <c r="B300" s="56"/>
      <c r="C300" s="56"/>
      <c r="D300" s="56"/>
      <c r="E300" s="56"/>
      <c r="F300" s="56"/>
      <c r="G300" s="56"/>
      <c r="H300" s="56"/>
      <c r="I300" s="56"/>
      <c r="J300" s="56"/>
      <c r="K300" s="56"/>
      <c r="L300" s="56"/>
      <c r="M300" s="56"/>
      <c r="N300" s="56"/>
      <c r="O300" s="56"/>
      <c r="P300" s="56"/>
      <c r="Q300" s="98"/>
      <c r="R300" s="98"/>
      <c r="S300" s="98"/>
      <c r="T300" s="98"/>
      <c r="U300" s="98"/>
      <c r="V300" s="98"/>
      <c r="W300" s="98"/>
      <c r="X300" s="98"/>
      <c r="Y300" s="98"/>
      <c r="Z300" s="98"/>
    </row>
    <row r="301" spans="1:26">
      <c r="A301" s="56"/>
      <c r="B301" s="56"/>
      <c r="C301" s="56"/>
      <c r="D301" s="56"/>
      <c r="E301" s="56"/>
      <c r="F301" s="56"/>
      <c r="G301" s="56"/>
      <c r="H301" s="56"/>
      <c r="I301" s="56"/>
      <c r="J301" s="56"/>
      <c r="K301" s="56"/>
      <c r="L301" s="56"/>
      <c r="M301" s="56"/>
      <c r="N301" s="56"/>
      <c r="O301" s="56"/>
      <c r="P301" s="56"/>
      <c r="Q301" s="98"/>
      <c r="R301" s="98"/>
      <c r="S301" s="98"/>
      <c r="T301" s="98"/>
      <c r="U301" s="98"/>
      <c r="V301" s="98"/>
      <c r="W301" s="98"/>
      <c r="X301" s="98"/>
      <c r="Y301" s="98"/>
      <c r="Z301" s="98"/>
    </row>
    <row r="302" spans="1:26">
      <c r="A302" s="56"/>
      <c r="B302" s="56"/>
      <c r="C302" s="56"/>
      <c r="D302" s="56"/>
      <c r="E302" s="56"/>
      <c r="F302" s="56"/>
      <c r="G302" s="56"/>
      <c r="H302" s="56"/>
      <c r="I302" s="56"/>
      <c r="J302" s="56"/>
      <c r="K302" s="56"/>
      <c r="L302" s="56"/>
      <c r="M302" s="56"/>
      <c r="N302" s="56"/>
      <c r="O302" s="56"/>
      <c r="P302" s="56"/>
      <c r="Q302" s="98"/>
      <c r="R302" s="98"/>
      <c r="S302" s="98"/>
      <c r="T302" s="98"/>
      <c r="U302" s="98"/>
      <c r="V302" s="98"/>
      <c r="W302" s="98"/>
      <c r="X302" s="98"/>
      <c r="Y302" s="98"/>
      <c r="Z302" s="98"/>
    </row>
    <row r="303" spans="1:26">
      <c r="A303" s="56"/>
      <c r="B303" s="56"/>
      <c r="C303" s="56"/>
      <c r="D303" s="56"/>
      <c r="E303" s="56"/>
      <c r="F303" s="56"/>
      <c r="G303" s="56"/>
      <c r="H303" s="56"/>
      <c r="I303" s="56"/>
      <c r="J303" s="56"/>
      <c r="K303" s="56"/>
      <c r="L303" s="56"/>
      <c r="M303" s="56"/>
      <c r="N303" s="56"/>
      <c r="O303" s="56"/>
      <c r="P303" s="56"/>
      <c r="Q303" s="98"/>
      <c r="R303" s="98"/>
      <c r="S303" s="98"/>
      <c r="T303" s="98"/>
      <c r="U303" s="98"/>
      <c r="V303" s="98"/>
      <c r="W303" s="98"/>
      <c r="X303" s="98"/>
      <c r="Y303" s="98"/>
      <c r="Z303" s="98"/>
    </row>
    <row r="304" spans="1:26">
      <c r="A304" s="56"/>
      <c r="B304" s="56"/>
      <c r="C304" s="56"/>
      <c r="D304" s="56"/>
      <c r="E304" s="56"/>
      <c r="F304" s="56"/>
      <c r="G304" s="56"/>
      <c r="H304" s="56"/>
      <c r="I304" s="56"/>
      <c r="J304" s="56"/>
      <c r="K304" s="56"/>
      <c r="L304" s="56"/>
      <c r="M304" s="56"/>
      <c r="N304" s="56"/>
      <c r="O304" s="56"/>
      <c r="P304" s="56"/>
      <c r="Q304" s="98"/>
      <c r="R304" s="98"/>
      <c r="S304" s="98"/>
      <c r="T304" s="98"/>
      <c r="U304" s="98"/>
      <c r="V304" s="98"/>
      <c r="W304" s="98"/>
      <c r="X304" s="98"/>
      <c r="Y304" s="98"/>
      <c r="Z304" s="98"/>
    </row>
    <row r="305" spans="1:26">
      <c r="A305" s="56"/>
      <c r="B305" s="56"/>
      <c r="C305" s="56"/>
      <c r="D305" s="56"/>
      <c r="E305" s="56"/>
      <c r="F305" s="56"/>
      <c r="G305" s="56"/>
      <c r="H305" s="56"/>
      <c r="I305" s="56"/>
      <c r="J305" s="56"/>
      <c r="K305" s="56"/>
      <c r="L305" s="56"/>
      <c r="M305" s="56"/>
      <c r="N305" s="56"/>
      <c r="O305" s="56"/>
      <c r="P305" s="56"/>
      <c r="Q305" s="98"/>
      <c r="R305" s="98"/>
      <c r="S305" s="98"/>
      <c r="T305" s="98"/>
      <c r="U305" s="98"/>
      <c r="V305" s="98"/>
      <c r="W305" s="98"/>
      <c r="X305" s="98"/>
      <c r="Y305" s="98"/>
      <c r="Z305" s="98"/>
    </row>
    <row r="306" spans="1:26">
      <c r="A306" s="56"/>
      <c r="B306" s="56"/>
      <c r="C306" s="56"/>
      <c r="D306" s="56"/>
      <c r="E306" s="56"/>
      <c r="F306" s="56"/>
      <c r="G306" s="56"/>
      <c r="H306" s="56"/>
      <c r="I306" s="56"/>
      <c r="J306" s="56"/>
      <c r="K306" s="56"/>
      <c r="L306" s="56"/>
      <c r="M306" s="56"/>
      <c r="N306" s="56"/>
      <c r="O306" s="56"/>
      <c r="P306" s="56"/>
      <c r="Q306" s="98"/>
      <c r="R306" s="98"/>
      <c r="S306" s="98"/>
      <c r="T306" s="98"/>
      <c r="U306" s="98"/>
      <c r="V306" s="98"/>
      <c r="W306" s="98"/>
      <c r="X306" s="98"/>
      <c r="Y306" s="98"/>
      <c r="Z306" s="98"/>
    </row>
    <row r="307" spans="1:26">
      <c r="A307" s="56"/>
      <c r="B307" s="56"/>
      <c r="C307" s="56"/>
      <c r="D307" s="56"/>
      <c r="E307" s="56"/>
      <c r="F307" s="56"/>
      <c r="G307" s="56"/>
      <c r="H307" s="56"/>
      <c r="I307" s="56"/>
      <c r="J307" s="56"/>
      <c r="K307" s="56"/>
      <c r="L307" s="56"/>
      <c r="M307" s="56"/>
      <c r="N307" s="56"/>
      <c r="O307" s="56"/>
      <c r="P307" s="56"/>
      <c r="Q307" s="98"/>
      <c r="R307" s="98"/>
      <c r="S307" s="98"/>
      <c r="T307" s="98"/>
      <c r="U307" s="98"/>
      <c r="V307" s="98"/>
      <c r="W307" s="98"/>
      <c r="X307" s="98"/>
      <c r="Y307" s="98"/>
      <c r="Z307" s="98"/>
    </row>
    <row r="308" spans="1:26">
      <c r="A308" s="56"/>
      <c r="B308" s="56"/>
      <c r="C308" s="56"/>
      <c r="D308" s="56"/>
      <c r="E308" s="56"/>
      <c r="F308" s="56"/>
      <c r="G308" s="56"/>
      <c r="H308" s="56"/>
      <c r="I308" s="56"/>
      <c r="J308" s="56"/>
      <c r="K308" s="56"/>
      <c r="L308" s="56"/>
      <c r="M308" s="56"/>
      <c r="N308" s="56"/>
      <c r="O308" s="56"/>
      <c r="P308" s="56"/>
      <c r="Q308" s="98"/>
      <c r="R308" s="98"/>
      <c r="S308" s="98"/>
      <c r="T308" s="98"/>
      <c r="U308" s="98"/>
      <c r="V308" s="98"/>
      <c r="W308" s="98"/>
      <c r="X308" s="98"/>
      <c r="Y308" s="98"/>
      <c r="Z308" s="98"/>
    </row>
    <row r="309" spans="1:26">
      <c r="A309" s="56"/>
      <c r="B309" s="56"/>
      <c r="C309" s="56"/>
      <c r="D309" s="56"/>
      <c r="E309" s="56"/>
      <c r="F309" s="56"/>
      <c r="G309" s="56"/>
      <c r="H309" s="56"/>
      <c r="I309" s="56"/>
      <c r="J309" s="56"/>
      <c r="K309" s="56"/>
      <c r="L309" s="56"/>
      <c r="M309" s="56"/>
      <c r="N309" s="56"/>
      <c r="O309" s="56"/>
      <c r="P309" s="56"/>
      <c r="Q309" s="98"/>
      <c r="R309" s="98"/>
      <c r="S309" s="98"/>
      <c r="T309" s="98"/>
      <c r="U309" s="98"/>
      <c r="V309" s="98"/>
      <c r="W309" s="98"/>
      <c r="X309" s="98"/>
      <c r="Y309" s="98"/>
      <c r="Z309" s="98"/>
    </row>
    <row r="310" spans="1:26">
      <c r="A310" s="56"/>
      <c r="B310" s="56"/>
      <c r="C310" s="56"/>
      <c r="D310" s="56"/>
      <c r="E310" s="56"/>
      <c r="F310" s="56"/>
      <c r="G310" s="56"/>
      <c r="H310" s="56"/>
      <c r="I310" s="56"/>
      <c r="J310" s="56"/>
      <c r="K310" s="56"/>
      <c r="L310" s="56"/>
      <c r="M310" s="56"/>
      <c r="N310" s="56"/>
      <c r="O310" s="56"/>
      <c r="P310" s="56"/>
      <c r="Q310" s="98"/>
      <c r="R310" s="98"/>
      <c r="S310" s="98"/>
      <c r="T310" s="98"/>
      <c r="U310" s="98"/>
      <c r="V310" s="98"/>
      <c r="W310" s="98"/>
      <c r="X310" s="98"/>
      <c r="Y310" s="98"/>
      <c r="Z310" s="98"/>
    </row>
    <row r="311" spans="1:26">
      <c r="A311" s="56"/>
      <c r="B311" s="56"/>
      <c r="C311" s="56"/>
      <c r="D311" s="56"/>
      <c r="E311" s="56"/>
      <c r="F311" s="56"/>
      <c r="G311" s="56"/>
      <c r="H311" s="56"/>
      <c r="I311" s="56"/>
      <c r="J311" s="56"/>
      <c r="K311" s="56"/>
      <c r="L311" s="56"/>
      <c r="M311" s="56"/>
      <c r="N311" s="56"/>
      <c r="O311" s="56"/>
      <c r="P311" s="56"/>
      <c r="Q311" s="98"/>
      <c r="R311" s="98"/>
      <c r="S311" s="98"/>
      <c r="T311" s="98"/>
      <c r="U311" s="98"/>
      <c r="V311" s="98"/>
      <c r="W311" s="98"/>
      <c r="X311" s="98"/>
      <c r="Y311" s="98"/>
      <c r="Z311" s="98"/>
    </row>
    <row r="312" spans="1:26">
      <c r="A312" s="56"/>
      <c r="B312" s="56"/>
      <c r="C312" s="56"/>
      <c r="D312" s="56"/>
      <c r="E312" s="56"/>
      <c r="F312" s="56"/>
      <c r="G312" s="56"/>
      <c r="H312" s="56"/>
      <c r="I312" s="56"/>
      <c r="J312" s="56"/>
      <c r="K312" s="56"/>
      <c r="L312" s="56"/>
      <c r="M312" s="56"/>
      <c r="N312" s="56"/>
      <c r="O312" s="56"/>
      <c r="P312" s="56"/>
      <c r="Q312" s="98"/>
      <c r="R312" s="98"/>
      <c r="S312" s="98"/>
      <c r="T312" s="98"/>
      <c r="U312" s="98"/>
      <c r="V312" s="98"/>
      <c r="W312" s="98"/>
      <c r="X312" s="98"/>
      <c r="Y312" s="98"/>
      <c r="Z312" s="98"/>
    </row>
    <row r="313" spans="1:26">
      <c r="A313" s="56"/>
      <c r="B313" s="56"/>
      <c r="C313" s="56"/>
      <c r="D313" s="56"/>
      <c r="E313" s="56"/>
      <c r="F313" s="56"/>
      <c r="G313" s="56"/>
      <c r="H313" s="56"/>
      <c r="I313" s="56"/>
      <c r="J313" s="56"/>
      <c r="K313" s="56"/>
      <c r="L313" s="56"/>
      <c r="M313" s="56"/>
      <c r="N313" s="56"/>
      <c r="O313" s="56"/>
      <c r="P313" s="56"/>
      <c r="Q313" s="98"/>
      <c r="R313" s="98"/>
      <c r="S313" s="98"/>
      <c r="T313" s="98"/>
      <c r="U313" s="98"/>
      <c r="V313" s="98"/>
      <c r="W313" s="98"/>
      <c r="X313" s="98"/>
      <c r="Y313" s="98"/>
      <c r="Z313" s="98"/>
    </row>
    <row r="314" spans="1:26">
      <c r="A314" s="56"/>
      <c r="B314" s="56"/>
      <c r="C314" s="56"/>
      <c r="D314" s="56"/>
      <c r="E314" s="56"/>
      <c r="F314" s="56"/>
      <c r="G314" s="56"/>
      <c r="H314" s="56"/>
      <c r="I314" s="56"/>
      <c r="J314" s="56"/>
      <c r="K314" s="56"/>
      <c r="L314" s="56"/>
      <c r="M314" s="56"/>
      <c r="N314" s="56"/>
      <c r="O314" s="56"/>
      <c r="P314" s="56"/>
      <c r="Q314" s="98"/>
      <c r="R314" s="98"/>
      <c r="S314" s="98"/>
      <c r="T314" s="98"/>
      <c r="U314" s="98"/>
      <c r="V314" s="98"/>
      <c r="W314" s="98"/>
      <c r="X314" s="98"/>
      <c r="Y314" s="98"/>
      <c r="Z314" s="98"/>
    </row>
    <row r="315" spans="1:26">
      <c r="A315" s="56"/>
      <c r="B315" s="56"/>
      <c r="C315" s="56"/>
      <c r="D315" s="56"/>
      <c r="E315" s="56"/>
      <c r="F315" s="56"/>
      <c r="G315" s="56"/>
      <c r="H315" s="56"/>
      <c r="I315" s="56"/>
      <c r="J315" s="56"/>
      <c r="K315" s="56"/>
      <c r="L315" s="56"/>
      <c r="M315" s="56"/>
      <c r="N315" s="56"/>
      <c r="O315" s="56"/>
      <c r="P315" s="56"/>
      <c r="Q315" s="98"/>
      <c r="R315" s="98"/>
      <c r="S315" s="98"/>
      <c r="T315" s="98"/>
      <c r="U315" s="98"/>
      <c r="V315" s="98"/>
      <c r="W315" s="98"/>
      <c r="X315" s="98"/>
      <c r="Y315" s="98"/>
      <c r="Z315" s="98"/>
    </row>
    <row r="316" spans="1:26">
      <c r="A316" s="56"/>
      <c r="B316" s="56"/>
      <c r="C316" s="56"/>
      <c r="D316" s="56"/>
      <c r="E316" s="56"/>
      <c r="F316" s="56"/>
      <c r="G316" s="56"/>
      <c r="H316" s="56"/>
      <c r="I316" s="56"/>
      <c r="J316" s="56"/>
      <c r="K316" s="56"/>
      <c r="L316" s="56"/>
      <c r="M316" s="56"/>
      <c r="N316" s="56"/>
      <c r="O316" s="56"/>
      <c r="P316" s="56"/>
      <c r="Q316" s="98"/>
      <c r="R316" s="98"/>
      <c r="S316" s="98"/>
      <c r="T316" s="98"/>
      <c r="U316" s="98"/>
      <c r="V316" s="98"/>
      <c r="W316" s="98"/>
      <c r="X316" s="98"/>
      <c r="Y316" s="98"/>
      <c r="Z316" s="98"/>
    </row>
    <row r="317" spans="1:26">
      <c r="A317" s="56"/>
      <c r="B317" s="56"/>
      <c r="C317" s="56"/>
      <c r="D317" s="56"/>
      <c r="E317" s="56"/>
      <c r="F317" s="56"/>
      <c r="G317" s="56"/>
      <c r="H317" s="56"/>
      <c r="I317" s="56"/>
      <c r="J317" s="56"/>
      <c r="K317" s="56"/>
      <c r="L317" s="56"/>
      <c r="M317" s="56"/>
      <c r="N317" s="56"/>
      <c r="O317" s="56"/>
      <c r="P317" s="56"/>
      <c r="Q317" s="98"/>
      <c r="R317" s="98"/>
      <c r="S317" s="98"/>
      <c r="T317" s="98"/>
      <c r="U317" s="98"/>
      <c r="V317" s="98"/>
      <c r="W317" s="98"/>
      <c r="X317" s="98"/>
      <c r="Y317" s="98"/>
      <c r="Z317" s="98"/>
    </row>
    <row r="318" spans="1:26">
      <c r="A318" s="56"/>
      <c r="B318" s="56"/>
      <c r="C318" s="56"/>
      <c r="D318" s="56"/>
      <c r="E318" s="56"/>
      <c r="F318" s="56"/>
      <c r="G318" s="56"/>
      <c r="H318" s="56"/>
      <c r="I318" s="56"/>
      <c r="J318" s="56"/>
      <c r="K318" s="56"/>
      <c r="L318" s="56"/>
      <c r="M318" s="56"/>
      <c r="N318" s="56"/>
      <c r="O318" s="56"/>
      <c r="P318" s="56"/>
      <c r="Q318" s="98"/>
      <c r="R318" s="98"/>
      <c r="S318" s="98"/>
      <c r="T318" s="98"/>
      <c r="U318" s="98"/>
      <c r="V318" s="98"/>
      <c r="W318" s="98"/>
      <c r="X318" s="98"/>
      <c r="Y318" s="98"/>
      <c r="Z318" s="98"/>
    </row>
    <row r="319" spans="1:26">
      <c r="A319" s="56"/>
      <c r="B319" s="56"/>
      <c r="C319" s="56"/>
      <c r="D319" s="56"/>
      <c r="E319" s="56"/>
      <c r="F319" s="56"/>
      <c r="G319" s="56"/>
      <c r="H319" s="56"/>
      <c r="I319" s="56"/>
      <c r="J319" s="56"/>
      <c r="K319" s="56"/>
      <c r="L319" s="56"/>
      <c r="M319" s="56"/>
      <c r="N319" s="56"/>
      <c r="O319" s="56"/>
      <c r="P319" s="56"/>
      <c r="Q319" s="98"/>
      <c r="R319" s="98"/>
      <c r="S319" s="98"/>
      <c r="T319" s="98"/>
      <c r="U319" s="98"/>
      <c r="V319" s="98"/>
      <c r="W319" s="98"/>
      <c r="X319" s="98"/>
      <c r="Y319" s="98"/>
      <c r="Z319" s="98"/>
    </row>
    <row r="320" spans="1:26">
      <c r="A320" s="56"/>
      <c r="B320" s="56"/>
      <c r="C320" s="56"/>
      <c r="D320" s="56"/>
      <c r="E320" s="56"/>
      <c r="F320" s="56"/>
      <c r="G320" s="56"/>
      <c r="H320" s="56"/>
      <c r="I320" s="56"/>
      <c r="J320" s="56"/>
      <c r="K320" s="56"/>
      <c r="L320" s="56"/>
      <c r="M320" s="56"/>
      <c r="N320" s="56"/>
      <c r="O320" s="56"/>
      <c r="P320" s="56"/>
      <c r="Q320" s="98"/>
      <c r="R320" s="98"/>
      <c r="S320" s="98"/>
      <c r="T320" s="98"/>
      <c r="U320" s="98"/>
      <c r="V320" s="98"/>
      <c r="W320" s="98"/>
      <c r="X320" s="98"/>
      <c r="Y320" s="98"/>
      <c r="Z320" s="98"/>
    </row>
    <row r="321" spans="1:26">
      <c r="A321" s="56"/>
      <c r="B321" s="56"/>
      <c r="C321" s="56"/>
      <c r="D321" s="56"/>
      <c r="E321" s="56"/>
      <c r="F321" s="56"/>
      <c r="G321" s="56"/>
      <c r="H321" s="56"/>
      <c r="I321" s="56"/>
      <c r="J321" s="56"/>
      <c r="K321" s="56"/>
      <c r="L321" s="56"/>
      <c r="M321" s="56"/>
      <c r="N321" s="56"/>
      <c r="O321" s="56"/>
      <c r="P321" s="56"/>
      <c r="Q321" s="98"/>
      <c r="R321" s="98"/>
      <c r="S321" s="98"/>
      <c r="T321" s="98"/>
      <c r="U321" s="98"/>
      <c r="V321" s="98"/>
      <c r="W321" s="98"/>
      <c r="X321" s="98"/>
      <c r="Y321" s="98"/>
      <c r="Z321" s="98"/>
    </row>
    <row r="322" spans="1:26">
      <c r="A322" s="56"/>
      <c r="B322" s="56"/>
      <c r="C322" s="56"/>
      <c r="D322" s="56"/>
      <c r="E322" s="56"/>
      <c r="F322" s="56"/>
      <c r="G322" s="56"/>
      <c r="H322" s="56"/>
      <c r="I322" s="56"/>
      <c r="J322" s="56"/>
      <c r="K322" s="56"/>
      <c r="L322" s="56"/>
      <c r="M322" s="56"/>
      <c r="N322" s="56"/>
      <c r="O322" s="56"/>
      <c r="P322" s="56"/>
      <c r="Q322" s="98"/>
      <c r="R322" s="98"/>
      <c r="S322" s="98"/>
      <c r="T322" s="98"/>
      <c r="U322" s="98"/>
      <c r="V322" s="98"/>
      <c r="W322" s="98"/>
      <c r="X322" s="98"/>
      <c r="Y322" s="98"/>
      <c r="Z322" s="98"/>
    </row>
    <row r="323" spans="1:26">
      <c r="A323" s="56"/>
      <c r="B323" s="56"/>
      <c r="C323" s="56"/>
      <c r="D323" s="56"/>
      <c r="E323" s="56"/>
      <c r="F323" s="56"/>
      <c r="G323" s="56"/>
      <c r="H323" s="56"/>
      <c r="I323" s="56"/>
      <c r="J323" s="56"/>
      <c r="K323" s="56"/>
      <c r="L323" s="56"/>
      <c r="M323" s="56"/>
      <c r="N323" s="56"/>
      <c r="O323" s="56"/>
      <c r="P323" s="56"/>
      <c r="Q323" s="98"/>
      <c r="R323" s="98"/>
      <c r="S323" s="98"/>
      <c r="T323" s="98"/>
      <c r="U323" s="98"/>
      <c r="V323" s="98"/>
      <c r="W323" s="98"/>
      <c r="X323" s="98"/>
      <c r="Y323" s="98"/>
      <c r="Z323" s="98"/>
    </row>
    <row r="324" spans="1:26">
      <c r="A324" s="56"/>
      <c r="B324" s="56"/>
      <c r="C324" s="56"/>
      <c r="D324" s="56"/>
      <c r="E324" s="56"/>
      <c r="F324" s="56"/>
      <c r="G324" s="56"/>
      <c r="H324" s="56"/>
      <c r="I324" s="56"/>
      <c r="J324" s="56"/>
      <c r="K324" s="56"/>
      <c r="L324" s="56"/>
      <c r="M324" s="56"/>
      <c r="N324" s="56"/>
      <c r="O324" s="56"/>
      <c r="P324" s="56"/>
      <c r="Q324" s="98"/>
      <c r="R324" s="98"/>
      <c r="S324" s="98"/>
      <c r="T324" s="98"/>
      <c r="U324" s="98"/>
      <c r="V324" s="98"/>
      <c r="W324" s="98"/>
      <c r="X324" s="98"/>
      <c r="Y324" s="98"/>
      <c r="Z324" s="98"/>
    </row>
    <row r="325" spans="1:26">
      <c r="A325" s="56"/>
      <c r="B325" s="56"/>
      <c r="C325" s="56"/>
      <c r="D325" s="56"/>
      <c r="E325" s="56"/>
      <c r="F325" s="56"/>
      <c r="G325" s="56"/>
      <c r="H325" s="56"/>
      <c r="I325" s="56"/>
      <c r="J325" s="56"/>
      <c r="K325" s="56"/>
      <c r="L325" s="56"/>
      <c r="M325" s="56"/>
      <c r="N325" s="56"/>
      <c r="O325" s="56"/>
      <c r="P325" s="56"/>
      <c r="Q325" s="98"/>
      <c r="R325" s="98"/>
      <c r="S325" s="98"/>
      <c r="T325" s="98"/>
      <c r="U325" s="98"/>
      <c r="V325" s="98"/>
      <c r="W325" s="98"/>
      <c r="X325" s="98"/>
      <c r="Y325" s="98"/>
      <c r="Z325" s="98"/>
    </row>
    <row r="326" spans="1:26">
      <c r="A326" s="56"/>
      <c r="B326" s="56"/>
      <c r="C326" s="56"/>
      <c r="D326" s="56"/>
      <c r="E326" s="56"/>
      <c r="F326" s="56"/>
      <c r="G326" s="56"/>
      <c r="H326" s="56"/>
      <c r="I326" s="56"/>
      <c r="J326" s="56"/>
      <c r="K326" s="56"/>
      <c r="L326" s="56"/>
      <c r="M326" s="56"/>
      <c r="N326" s="56"/>
      <c r="O326" s="56"/>
      <c r="P326" s="56"/>
      <c r="Q326" s="98"/>
      <c r="R326" s="98"/>
      <c r="S326" s="98"/>
      <c r="T326" s="98"/>
      <c r="U326" s="98"/>
      <c r="V326" s="98"/>
      <c r="W326" s="98"/>
      <c r="X326" s="98"/>
      <c r="Y326" s="98"/>
      <c r="Z326" s="98"/>
    </row>
    <row r="327" spans="1:26">
      <c r="A327" s="56"/>
      <c r="B327" s="56"/>
      <c r="C327" s="56"/>
      <c r="D327" s="56"/>
      <c r="E327" s="56"/>
      <c r="F327" s="56"/>
      <c r="G327" s="56"/>
      <c r="H327" s="56"/>
      <c r="I327" s="56"/>
      <c r="J327" s="56"/>
      <c r="K327" s="56"/>
      <c r="L327" s="56"/>
      <c r="M327" s="56"/>
      <c r="N327" s="56"/>
      <c r="O327" s="56"/>
      <c r="P327" s="56"/>
      <c r="Q327" s="98"/>
      <c r="R327" s="98"/>
      <c r="S327" s="98"/>
      <c r="T327" s="98"/>
      <c r="U327" s="98"/>
      <c r="V327" s="98"/>
      <c r="W327" s="98"/>
      <c r="X327" s="98"/>
      <c r="Y327" s="98"/>
      <c r="Z327" s="98"/>
    </row>
    <row r="328" spans="1:26">
      <c r="A328" s="56"/>
      <c r="B328" s="56"/>
      <c r="C328" s="56"/>
      <c r="D328" s="56"/>
      <c r="E328" s="56"/>
      <c r="F328" s="56"/>
      <c r="G328" s="56"/>
      <c r="H328" s="56"/>
      <c r="I328" s="56"/>
      <c r="J328" s="56"/>
      <c r="K328" s="56"/>
      <c r="L328" s="56"/>
      <c r="M328" s="56"/>
      <c r="N328" s="56"/>
      <c r="O328" s="56"/>
      <c r="P328" s="56"/>
      <c r="Q328" s="98"/>
      <c r="R328" s="98"/>
      <c r="S328" s="98"/>
      <c r="T328" s="98"/>
      <c r="U328" s="98"/>
      <c r="V328" s="98"/>
      <c r="W328" s="98"/>
      <c r="X328" s="98"/>
      <c r="Y328" s="98"/>
      <c r="Z328" s="98"/>
    </row>
    <row r="329" spans="1:26">
      <c r="A329" s="56"/>
      <c r="B329" s="56"/>
      <c r="C329" s="56"/>
      <c r="D329" s="56"/>
      <c r="E329" s="56"/>
      <c r="F329" s="56"/>
      <c r="G329" s="56"/>
      <c r="H329" s="56"/>
      <c r="I329" s="56"/>
      <c r="J329" s="56"/>
      <c r="K329" s="56"/>
      <c r="L329" s="56"/>
      <c r="M329" s="56"/>
      <c r="N329" s="56"/>
      <c r="O329" s="56"/>
      <c r="P329" s="56"/>
      <c r="Q329" s="98"/>
      <c r="R329" s="98"/>
      <c r="S329" s="98"/>
      <c r="T329" s="98"/>
      <c r="U329" s="98"/>
      <c r="V329" s="98"/>
      <c r="W329" s="98"/>
      <c r="X329" s="98"/>
      <c r="Y329" s="98"/>
      <c r="Z329" s="98"/>
    </row>
    <row r="330" spans="1:26">
      <c r="A330" s="56"/>
      <c r="B330" s="56"/>
      <c r="C330" s="56"/>
      <c r="D330" s="56"/>
      <c r="E330" s="56"/>
      <c r="F330" s="56"/>
      <c r="G330" s="56"/>
      <c r="H330" s="56"/>
      <c r="I330" s="56"/>
      <c r="J330" s="56"/>
      <c r="K330" s="56"/>
      <c r="L330" s="56"/>
      <c r="M330" s="56"/>
      <c r="N330" s="56"/>
      <c r="O330" s="56"/>
      <c r="P330" s="56"/>
      <c r="Q330" s="98"/>
      <c r="R330" s="98"/>
      <c r="S330" s="98"/>
      <c r="T330" s="98"/>
      <c r="U330" s="98"/>
      <c r="V330" s="98"/>
      <c r="W330" s="98"/>
      <c r="X330" s="98"/>
      <c r="Y330" s="98"/>
      <c r="Z330" s="98"/>
    </row>
    <row r="331" spans="1:26">
      <c r="A331" s="56"/>
      <c r="B331" s="56"/>
      <c r="C331" s="56"/>
      <c r="D331" s="56"/>
      <c r="E331" s="56"/>
      <c r="F331" s="56"/>
      <c r="G331" s="56"/>
      <c r="H331" s="56"/>
      <c r="I331" s="56"/>
      <c r="J331" s="56"/>
      <c r="K331" s="56"/>
      <c r="L331" s="56"/>
      <c r="M331" s="56"/>
      <c r="N331" s="56"/>
      <c r="O331" s="56"/>
      <c r="P331" s="56"/>
      <c r="Q331" s="98"/>
      <c r="R331" s="98"/>
      <c r="S331" s="98"/>
      <c r="T331" s="98"/>
      <c r="U331" s="98"/>
      <c r="V331" s="98"/>
      <c r="W331" s="98"/>
      <c r="X331" s="98"/>
      <c r="Y331" s="98"/>
      <c r="Z331" s="98"/>
    </row>
    <row r="332" spans="1:26">
      <c r="A332" s="56"/>
      <c r="B332" s="56"/>
      <c r="C332" s="56"/>
      <c r="D332" s="56"/>
      <c r="E332" s="56"/>
      <c r="F332" s="56"/>
      <c r="G332" s="56"/>
      <c r="H332" s="56"/>
      <c r="I332" s="56"/>
      <c r="J332" s="56"/>
      <c r="K332" s="56"/>
      <c r="L332" s="56"/>
      <c r="M332" s="56"/>
      <c r="N332" s="56"/>
      <c r="O332" s="56"/>
      <c r="P332" s="56"/>
      <c r="Q332" s="98"/>
      <c r="R332" s="98"/>
      <c r="S332" s="98"/>
      <c r="T332" s="98"/>
      <c r="U332" s="98"/>
      <c r="V332" s="98"/>
      <c r="W332" s="98"/>
      <c r="X332" s="98"/>
      <c r="Y332" s="98"/>
      <c r="Z332" s="98"/>
    </row>
    <row r="333" spans="1:26">
      <c r="A333" s="56"/>
      <c r="B333" s="56"/>
      <c r="C333" s="56"/>
      <c r="D333" s="56"/>
      <c r="E333" s="56"/>
      <c r="F333" s="56"/>
      <c r="G333" s="56"/>
      <c r="H333" s="56"/>
      <c r="I333" s="56"/>
      <c r="J333" s="56"/>
      <c r="K333" s="56"/>
      <c r="L333" s="56"/>
      <c r="M333" s="56"/>
      <c r="N333" s="56"/>
      <c r="O333" s="56"/>
      <c r="P333" s="56"/>
      <c r="Q333" s="98"/>
      <c r="R333" s="98"/>
      <c r="S333" s="98"/>
      <c r="T333" s="98"/>
      <c r="U333" s="98"/>
      <c r="V333" s="98"/>
      <c r="W333" s="98"/>
      <c r="X333" s="98"/>
      <c r="Y333" s="98"/>
      <c r="Z333" s="98"/>
    </row>
    <row r="334" spans="1:26">
      <c r="A334" s="56"/>
      <c r="B334" s="56"/>
      <c r="C334" s="56"/>
      <c r="D334" s="56"/>
      <c r="E334" s="56"/>
      <c r="F334" s="56"/>
      <c r="G334" s="56"/>
      <c r="H334" s="56"/>
      <c r="I334" s="56"/>
      <c r="J334" s="56"/>
      <c r="K334" s="56"/>
      <c r="L334" s="56"/>
      <c r="M334" s="56"/>
      <c r="N334" s="56"/>
      <c r="O334" s="56"/>
      <c r="P334" s="56"/>
      <c r="Q334" s="98"/>
      <c r="R334" s="98"/>
      <c r="S334" s="98"/>
      <c r="T334" s="98"/>
      <c r="U334" s="98"/>
      <c r="V334" s="98"/>
      <c r="W334" s="98"/>
      <c r="X334" s="98"/>
      <c r="Y334" s="98"/>
      <c r="Z334" s="98"/>
    </row>
    <row r="335" spans="1:26">
      <c r="A335" s="56"/>
      <c r="B335" s="56"/>
      <c r="C335" s="56"/>
      <c r="D335" s="56"/>
      <c r="E335" s="56"/>
      <c r="F335" s="56"/>
      <c r="G335" s="56"/>
      <c r="H335" s="56"/>
      <c r="I335" s="56"/>
      <c r="J335" s="56"/>
      <c r="K335" s="56"/>
      <c r="L335" s="56"/>
      <c r="M335" s="56"/>
      <c r="N335" s="56"/>
      <c r="O335" s="56"/>
      <c r="P335" s="56"/>
      <c r="Q335" s="98"/>
      <c r="R335" s="98"/>
      <c r="S335" s="98"/>
      <c r="T335" s="98"/>
      <c r="U335" s="98"/>
      <c r="V335" s="98"/>
      <c r="W335" s="98"/>
      <c r="X335" s="98"/>
      <c r="Y335" s="98"/>
      <c r="Z335" s="98"/>
    </row>
    <row r="336" spans="1:26">
      <c r="A336" s="56"/>
      <c r="B336" s="56"/>
      <c r="C336" s="56"/>
      <c r="D336" s="56"/>
      <c r="E336" s="56"/>
      <c r="F336" s="56"/>
      <c r="G336" s="56"/>
      <c r="H336" s="56"/>
      <c r="I336" s="56"/>
      <c r="J336" s="56"/>
      <c r="K336" s="56"/>
      <c r="L336" s="56"/>
      <c r="M336" s="56"/>
      <c r="N336" s="56"/>
      <c r="O336" s="56"/>
      <c r="P336" s="56"/>
      <c r="Q336" s="98" t="s">
        <v>1982</v>
      </c>
      <c r="R336" s="98"/>
      <c r="S336" s="98"/>
      <c r="T336" s="98"/>
      <c r="U336" s="98"/>
      <c r="V336" s="98"/>
      <c r="W336" s="98"/>
      <c r="X336" s="98"/>
      <c r="Y336" s="98"/>
      <c r="Z336" s="98"/>
    </row>
    <row r="337" spans="1:26">
      <c r="A337" s="56"/>
      <c r="B337" s="56"/>
      <c r="C337" s="56"/>
      <c r="D337" s="56"/>
      <c r="E337" s="56"/>
      <c r="F337" s="56"/>
      <c r="G337" s="56"/>
      <c r="H337" s="56"/>
      <c r="I337" s="56"/>
      <c r="J337" s="56"/>
      <c r="K337" s="56"/>
      <c r="L337" s="56"/>
      <c r="M337" s="56"/>
      <c r="N337" s="56"/>
      <c r="O337" s="56"/>
      <c r="P337" s="56"/>
      <c r="Q337" s="98"/>
      <c r="R337" s="98"/>
      <c r="S337" s="98"/>
      <c r="T337" s="98"/>
      <c r="U337" s="98"/>
      <c r="V337" s="98"/>
      <c r="W337" s="98"/>
      <c r="X337" s="98"/>
      <c r="Y337" s="98"/>
      <c r="Z337" s="98"/>
    </row>
    <row r="338" spans="1:26">
      <c r="A338" s="56"/>
      <c r="B338" s="56"/>
      <c r="C338" s="56"/>
      <c r="D338" s="56"/>
      <c r="E338" s="56"/>
      <c r="F338" s="56"/>
      <c r="G338" s="56"/>
      <c r="H338" s="56"/>
      <c r="I338" s="56"/>
      <c r="J338" s="56"/>
      <c r="K338" s="56"/>
      <c r="L338" s="56"/>
      <c r="M338" s="56"/>
      <c r="N338" s="56"/>
      <c r="O338" s="56"/>
      <c r="P338" s="56"/>
      <c r="Q338" s="98"/>
      <c r="R338" s="98"/>
      <c r="S338" s="98"/>
      <c r="T338" s="98"/>
      <c r="U338" s="98"/>
      <c r="V338" s="98"/>
      <c r="W338" s="98"/>
      <c r="X338" s="98"/>
      <c r="Y338" s="98"/>
      <c r="Z338" s="98"/>
    </row>
    <row r="339" spans="1:26">
      <c r="A339" s="56"/>
      <c r="B339" s="56"/>
      <c r="C339" s="56"/>
      <c r="D339" s="56"/>
      <c r="E339" s="56"/>
      <c r="F339" s="56"/>
      <c r="G339" s="56"/>
      <c r="H339" s="56"/>
      <c r="I339" s="56"/>
      <c r="J339" s="56"/>
      <c r="K339" s="56"/>
      <c r="L339" s="56"/>
      <c r="M339" s="56"/>
      <c r="N339" s="56"/>
      <c r="O339" s="56"/>
      <c r="P339" s="56"/>
      <c r="Q339" s="98"/>
      <c r="R339" s="98"/>
      <c r="S339" s="98"/>
      <c r="T339" s="98"/>
      <c r="U339" s="98"/>
      <c r="V339" s="98"/>
      <c r="W339" s="98"/>
      <c r="X339" s="98"/>
      <c r="Y339" s="98"/>
      <c r="Z339" s="98"/>
    </row>
    <row r="340" spans="1:26">
      <c r="A340" s="56"/>
      <c r="B340" s="56"/>
      <c r="C340" s="56"/>
      <c r="D340" s="56"/>
      <c r="E340" s="56"/>
      <c r="F340" s="56"/>
      <c r="G340" s="56"/>
      <c r="H340" s="56"/>
      <c r="I340" s="56"/>
      <c r="J340" s="56"/>
      <c r="K340" s="56"/>
      <c r="L340" s="56"/>
      <c r="M340" s="56"/>
      <c r="N340" s="56"/>
      <c r="O340" s="56"/>
      <c r="P340" s="56"/>
      <c r="Q340" s="98"/>
      <c r="R340" s="98"/>
      <c r="S340" s="98"/>
      <c r="T340" s="98"/>
      <c r="U340" s="98"/>
      <c r="V340" s="98"/>
      <c r="W340" s="98"/>
      <c r="X340" s="98"/>
      <c r="Y340" s="98"/>
      <c r="Z340" s="98"/>
    </row>
    <row r="341" spans="1:26">
      <c r="A341" s="56"/>
      <c r="B341" s="56"/>
      <c r="C341" s="56"/>
      <c r="D341" s="56"/>
      <c r="E341" s="56"/>
      <c r="F341" s="56"/>
      <c r="G341" s="56"/>
      <c r="H341" s="56"/>
      <c r="I341" s="56"/>
      <c r="J341" s="56"/>
      <c r="K341" s="56"/>
      <c r="L341" s="56"/>
      <c r="M341" s="56"/>
      <c r="N341" s="56"/>
      <c r="O341" s="56"/>
      <c r="P341" s="56"/>
      <c r="Q341" s="98"/>
      <c r="R341" s="98"/>
      <c r="S341" s="98"/>
      <c r="T341" s="98"/>
      <c r="U341" s="98"/>
      <c r="V341" s="98"/>
      <c r="W341" s="98"/>
      <c r="X341" s="98"/>
      <c r="Y341" s="98"/>
      <c r="Z341" s="98"/>
    </row>
    <row r="342" spans="1:26">
      <c r="A342" s="56"/>
      <c r="B342" s="56"/>
      <c r="C342" s="56"/>
      <c r="D342" s="56"/>
      <c r="E342" s="56"/>
      <c r="F342" s="56"/>
      <c r="G342" s="56"/>
      <c r="H342" s="56"/>
      <c r="I342" s="56"/>
      <c r="J342" s="56"/>
      <c r="K342" s="56"/>
      <c r="L342" s="56"/>
      <c r="M342" s="56"/>
      <c r="N342" s="56"/>
      <c r="O342" s="56"/>
      <c r="P342" s="56"/>
      <c r="Q342" s="98"/>
      <c r="R342" s="98"/>
      <c r="S342" s="98"/>
      <c r="T342" s="98"/>
      <c r="U342" s="98"/>
      <c r="V342" s="98"/>
      <c r="W342" s="98"/>
      <c r="X342" s="98"/>
      <c r="Y342" s="98"/>
      <c r="Z342" s="98"/>
    </row>
    <row r="343" spans="1:26">
      <c r="A343" s="56"/>
      <c r="B343" s="56"/>
      <c r="C343" s="56"/>
      <c r="D343" s="56"/>
      <c r="E343" s="56"/>
      <c r="F343" s="56"/>
      <c r="G343" s="56"/>
      <c r="H343" s="56"/>
      <c r="I343" s="56"/>
      <c r="J343" s="56"/>
      <c r="K343" s="56"/>
      <c r="L343" s="56"/>
      <c r="M343" s="56"/>
      <c r="N343" s="56"/>
      <c r="O343" s="56"/>
      <c r="P343" s="56"/>
      <c r="Q343" s="98"/>
      <c r="R343" s="98"/>
      <c r="S343" s="98"/>
      <c r="T343" s="98"/>
      <c r="U343" s="98"/>
      <c r="V343" s="98"/>
      <c r="W343" s="98"/>
      <c r="X343" s="98"/>
      <c r="Y343" s="98"/>
      <c r="Z343" s="98"/>
    </row>
    <row r="344" spans="1:26">
      <c r="A344" s="56"/>
      <c r="B344" s="56"/>
      <c r="C344" s="56"/>
      <c r="D344" s="56"/>
      <c r="E344" s="56"/>
      <c r="F344" s="56"/>
      <c r="G344" s="56"/>
      <c r="H344" s="56"/>
      <c r="I344" s="56"/>
      <c r="J344" s="56"/>
      <c r="K344" s="56"/>
      <c r="L344" s="56"/>
      <c r="M344" s="56"/>
      <c r="N344" s="56"/>
      <c r="O344" s="56"/>
      <c r="P344" s="56"/>
      <c r="Q344" s="98"/>
      <c r="R344" s="98"/>
      <c r="S344" s="98"/>
      <c r="T344" s="98"/>
      <c r="U344" s="98"/>
      <c r="V344" s="98"/>
      <c r="W344" s="98"/>
      <c r="X344" s="98"/>
      <c r="Y344" s="98"/>
      <c r="Z344" s="98"/>
    </row>
    <row r="345" spans="1:26">
      <c r="A345" s="56"/>
      <c r="B345" s="56"/>
      <c r="C345" s="56"/>
      <c r="D345" s="56"/>
      <c r="E345" s="56"/>
      <c r="F345" s="56"/>
      <c r="G345" s="56"/>
      <c r="H345" s="56"/>
      <c r="I345" s="56"/>
      <c r="J345" s="56"/>
      <c r="K345" s="56"/>
      <c r="L345" s="56"/>
      <c r="M345" s="56"/>
      <c r="N345" s="56"/>
      <c r="O345" s="56"/>
      <c r="P345" s="56"/>
      <c r="Q345" s="98"/>
      <c r="R345" s="98"/>
      <c r="S345" s="98"/>
      <c r="T345" s="98"/>
      <c r="U345" s="98"/>
      <c r="V345" s="98"/>
      <c r="W345" s="98"/>
      <c r="X345" s="98"/>
      <c r="Y345" s="98"/>
      <c r="Z345" s="98"/>
    </row>
    <row r="346" spans="1:26">
      <c r="A346" s="56"/>
      <c r="B346" s="56"/>
      <c r="C346" s="56"/>
      <c r="D346" s="56"/>
      <c r="E346" s="56"/>
      <c r="F346" s="56"/>
      <c r="G346" s="56"/>
      <c r="H346" s="56"/>
      <c r="I346" s="56"/>
      <c r="J346" s="56"/>
      <c r="K346" s="56"/>
      <c r="L346" s="56"/>
      <c r="M346" s="56"/>
      <c r="N346" s="56"/>
      <c r="O346" s="56"/>
      <c r="P346" s="56"/>
      <c r="Q346" s="98"/>
      <c r="R346" s="98"/>
      <c r="S346" s="98"/>
      <c r="T346" s="98"/>
      <c r="U346" s="98"/>
      <c r="V346" s="98"/>
      <c r="W346" s="98"/>
      <c r="X346" s="98"/>
      <c r="Y346" s="98"/>
      <c r="Z346" s="98"/>
    </row>
    <row r="347" spans="1:26">
      <c r="A347" s="56"/>
      <c r="B347" s="56"/>
      <c r="C347" s="56"/>
      <c r="D347" s="56"/>
      <c r="E347" s="56"/>
      <c r="F347" s="56"/>
      <c r="G347" s="56"/>
      <c r="H347" s="56"/>
      <c r="I347" s="56"/>
      <c r="J347" s="56"/>
      <c r="K347" s="56"/>
      <c r="L347" s="56"/>
      <c r="M347" s="56"/>
      <c r="N347" s="56"/>
      <c r="O347" s="56"/>
      <c r="P347" s="56"/>
      <c r="Q347" s="98"/>
      <c r="R347" s="98"/>
      <c r="S347" s="98"/>
      <c r="T347" s="98"/>
      <c r="U347" s="98"/>
      <c r="V347" s="98"/>
      <c r="W347" s="98"/>
      <c r="X347" s="98"/>
      <c r="Y347" s="98"/>
      <c r="Z347" s="98"/>
    </row>
    <row r="348" spans="1:26">
      <c r="A348" s="56"/>
      <c r="B348" s="56"/>
      <c r="C348" s="56"/>
      <c r="D348" s="56"/>
      <c r="E348" s="56"/>
      <c r="F348" s="56"/>
      <c r="G348" s="56"/>
      <c r="H348" s="56"/>
      <c r="I348" s="56"/>
      <c r="J348" s="56"/>
      <c r="K348" s="56"/>
      <c r="L348" s="56"/>
      <c r="M348" s="56"/>
      <c r="N348" s="56"/>
      <c r="O348" s="56"/>
      <c r="P348" s="56"/>
      <c r="Q348" s="98"/>
      <c r="R348" s="98"/>
      <c r="S348" s="98"/>
      <c r="T348" s="98"/>
      <c r="U348" s="98"/>
      <c r="V348" s="98"/>
      <c r="W348" s="98"/>
      <c r="X348" s="98"/>
      <c r="Y348" s="98"/>
      <c r="Z348" s="98"/>
    </row>
    <row r="349" spans="1:26">
      <c r="A349" s="56"/>
      <c r="B349" s="56"/>
      <c r="C349" s="56"/>
      <c r="D349" s="56"/>
      <c r="E349" s="56"/>
      <c r="F349" s="56"/>
      <c r="G349" s="56"/>
      <c r="H349" s="56"/>
      <c r="I349" s="56"/>
      <c r="J349" s="56"/>
      <c r="K349" s="56"/>
      <c r="L349" s="56"/>
      <c r="M349" s="56"/>
      <c r="N349" s="56"/>
      <c r="O349" s="56"/>
      <c r="P349" s="56"/>
      <c r="Q349" s="98"/>
      <c r="R349" s="98"/>
      <c r="S349" s="98"/>
      <c r="T349" s="98"/>
      <c r="U349" s="98"/>
      <c r="V349" s="98"/>
      <c r="W349" s="98"/>
      <c r="X349" s="98"/>
      <c r="Y349" s="98"/>
      <c r="Z349" s="98"/>
    </row>
    <row r="350" spans="1:26">
      <c r="A350" s="56"/>
      <c r="B350" s="56"/>
      <c r="C350" s="56"/>
      <c r="D350" s="56"/>
      <c r="E350" s="56"/>
      <c r="F350" s="56"/>
      <c r="G350" s="56"/>
      <c r="H350" s="56"/>
      <c r="I350" s="56"/>
      <c r="J350" s="56"/>
      <c r="K350" s="56"/>
      <c r="L350" s="56"/>
      <c r="M350" s="56"/>
      <c r="N350" s="56"/>
      <c r="O350" s="56"/>
      <c r="P350" s="56"/>
      <c r="Q350" s="98"/>
      <c r="R350" s="98"/>
      <c r="S350" s="98"/>
      <c r="T350" s="98"/>
      <c r="U350" s="98"/>
      <c r="V350" s="98"/>
      <c r="W350" s="98"/>
      <c r="X350" s="98"/>
      <c r="Y350" s="98"/>
      <c r="Z350" s="98"/>
    </row>
    <row r="351" spans="1:26">
      <c r="A351" s="56"/>
      <c r="B351" s="56"/>
      <c r="C351" s="56"/>
      <c r="D351" s="56"/>
      <c r="E351" s="56"/>
      <c r="F351" s="56"/>
      <c r="G351" s="56"/>
      <c r="H351" s="56"/>
      <c r="I351" s="56"/>
      <c r="J351" s="56"/>
      <c r="K351" s="56"/>
      <c r="L351" s="56"/>
      <c r="M351" s="56"/>
      <c r="N351" s="56"/>
      <c r="O351" s="56"/>
      <c r="P351" s="56"/>
      <c r="Q351" s="98"/>
      <c r="R351" s="98"/>
      <c r="S351" s="98"/>
      <c r="T351" s="98"/>
      <c r="U351" s="98"/>
      <c r="V351" s="98"/>
      <c r="W351" s="98"/>
      <c r="X351" s="98"/>
      <c r="Y351" s="98"/>
      <c r="Z351" s="98"/>
    </row>
    <row r="352" spans="1:26">
      <c r="A352" s="56"/>
      <c r="B352" s="56"/>
      <c r="C352" s="56"/>
      <c r="D352" s="56"/>
      <c r="E352" s="56"/>
      <c r="F352" s="56"/>
      <c r="G352" s="56"/>
      <c r="H352" s="56"/>
      <c r="I352" s="56"/>
      <c r="J352" s="56"/>
      <c r="K352" s="56"/>
      <c r="L352" s="56"/>
      <c r="M352" s="56"/>
      <c r="N352" s="56"/>
      <c r="O352" s="56"/>
      <c r="P352" s="56"/>
      <c r="Q352" s="98"/>
      <c r="R352" s="98"/>
      <c r="S352" s="98"/>
      <c r="T352" s="98"/>
      <c r="U352" s="98"/>
      <c r="V352" s="98"/>
      <c r="W352" s="98"/>
      <c r="X352" s="98"/>
      <c r="Y352" s="98"/>
      <c r="Z352" s="98"/>
    </row>
    <row r="353" spans="1:26">
      <c r="A353" s="56"/>
      <c r="B353" s="56"/>
      <c r="C353" s="56"/>
      <c r="D353" s="56"/>
      <c r="E353" s="56"/>
      <c r="F353" s="56"/>
      <c r="G353" s="56"/>
      <c r="H353" s="56"/>
      <c r="I353" s="56"/>
      <c r="J353" s="56"/>
      <c r="K353" s="56"/>
      <c r="L353" s="56"/>
      <c r="M353" s="56"/>
      <c r="N353" s="56"/>
      <c r="O353" s="56"/>
      <c r="P353" s="56"/>
      <c r="Q353" s="98"/>
      <c r="R353" s="98"/>
      <c r="S353" s="98"/>
      <c r="T353" s="98"/>
      <c r="U353" s="98"/>
      <c r="V353" s="98"/>
      <c r="W353" s="98"/>
      <c r="X353" s="98"/>
      <c r="Y353" s="98"/>
      <c r="Z353" s="98"/>
    </row>
    <row r="354" spans="1:26">
      <c r="A354" s="56"/>
      <c r="B354" s="56"/>
      <c r="C354" s="56"/>
      <c r="D354" s="56"/>
      <c r="E354" s="56"/>
      <c r="F354" s="56"/>
      <c r="G354" s="56"/>
      <c r="H354" s="56"/>
      <c r="I354" s="56"/>
      <c r="J354" s="56"/>
      <c r="K354" s="56"/>
      <c r="L354" s="56"/>
      <c r="M354" s="56"/>
      <c r="N354" s="56"/>
      <c r="O354" s="56"/>
      <c r="P354" s="56"/>
      <c r="Q354" s="98"/>
      <c r="R354" s="98"/>
      <c r="S354" s="98"/>
      <c r="T354" s="98"/>
      <c r="U354" s="98"/>
      <c r="V354" s="98"/>
      <c r="W354" s="98"/>
      <c r="X354" s="98"/>
      <c r="Y354" s="98"/>
      <c r="Z354" s="98"/>
    </row>
    <row r="355" spans="1:26">
      <c r="A355" s="56"/>
      <c r="B355" s="56"/>
      <c r="C355" s="56"/>
      <c r="D355" s="56"/>
      <c r="E355" s="56"/>
      <c r="F355" s="56"/>
      <c r="G355" s="56"/>
      <c r="H355" s="56"/>
      <c r="I355" s="56"/>
      <c r="J355" s="56"/>
      <c r="K355" s="56"/>
      <c r="L355" s="56"/>
      <c r="M355" s="56"/>
      <c r="N355" s="56"/>
      <c r="O355" s="56"/>
      <c r="P355" s="56"/>
      <c r="Q355" s="98"/>
      <c r="R355" s="98"/>
      <c r="S355" s="98"/>
      <c r="T355" s="98"/>
      <c r="U355" s="98"/>
      <c r="V355" s="98"/>
      <c r="W355" s="98"/>
      <c r="X355" s="98"/>
      <c r="Y355" s="98"/>
      <c r="Z355" s="98"/>
    </row>
    <row r="356" spans="1:26">
      <c r="A356" s="56"/>
      <c r="B356" s="56"/>
      <c r="C356" s="56"/>
      <c r="D356" s="56"/>
      <c r="E356" s="56"/>
      <c r="F356" s="56"/>
      <c r="G356" s="56"/>
      <c r="H356" s="56"/>
      <c r="I356" s="56"/>
      <c r="J356" s="56"/>
      <c r="K356" s="56"/>
      <c r="L356" s="56"/>
      <c r="M356" s="56"/>
      <c r="N356" s="56"/>
      <c r="O356" s="56"/>
      <c r="P356" s="56"/>
      <c r="Q356" s="98"/>
      <c r="R356" s="98"/>
      <c r="S356" s="98"/>
      <c r="T356" s="98"/>
      <c r="U356" s="98"/>
      <c r="V356" s="98"/>
      <c r="W356" s="98"/>
      <c r="X356" s="98"/>
      <c r="Y356" s="98"/>
      <c r="Z356" s="98"/>
    </row>
    <row r="357" spans="1:26">
      <c r="A357" s="56"/>
      <c r="B357" s="56"/>
      <c r="C357" s="56"/>
      <c r="D357" s="56"/>
      <c r="E357" s="56"/>
      <c r="F357" s="56"/>
      <c r="G357" s="56"/>
      <c r="H357" s="56"/>
      <c r="I357" s="56"/>
      <c r="J357" s="56"/>
      <c r="K357" s="56"/>
      <c r="L357" s="56"/>
      <c r="M357" s="56"/>
      <c r="N357" s="56"/>
      <c r="O357" s="56"/>
      <c r="P357" s="56"/>
      <c r="Q357" s="98"/>
      <c r="R357" s="98"/>
      <c r="S357" s="98"/>
      <c r="T357" s="98"/>
      <c r="U357" s="98"/>
      <c r="V357" s="98"/>
      <c r="W357" s="98"/>
      <c r="X357" s="98"/>
      <c r="Y357" s="98"/>
      <c r="Z357" s="98"/>
    </row>
    <row r="358" spans="1:26">
      <c r="A358" s="56"/>
      <c r="B358" s="56"/>
      <c r="C358" s="56"/>
      <c r="D358" s="56"/>
      <c r="E358" s="56"/>
      <c r="F358" s="56"/>
      <c r="G358" s="56"/>
      <c r="H358" s="56"/>
      <c r="I358" s="56"/>
      <c r="J358" s="56"/>
      <c r="K358" s="56"/>
      <c r="L358" s="56"/>
      <c r="M358" s="56"/>
      <c r="N358" s="56"/>
      <c r="O358" s="56"/>
      <c r="P358" s="56"/>
      <c r="Q358" s="98"/>
      <c r="R358" s="98"/>
      <c r="S358" s="98"/>
      <c r="T358" s="98"/>
      <c r="U358" s="98"/>
      <c r="V358" s="98"/>
      <c r="W358" s="98"/>
      <c r="X358" s="98"/>
      <c r="Y358" s="98"/>
      <c r="Z358" s="98"/>
    </row>
    <row r="359" spans="1:26">
      <c r="A359" s="56"/>
      <c r="B359" s="56"/>
      <c r="C359" s="56"/>
      <c r="D359" s="56"/>
      <c r="E359" s="56"/>
      <c r="F359" s="56"/>
      <c r="G359" s="56"/>
      <c r="H359" s="56"/>
      <c r="I359" s="56"/>
      <c r="J359" s="56"/>
      <c r="K359" s="56"/>
      <c r="L359" s="56"/>
      <c r="M359" s="56"/>
      <c r="N359" s="56"/>
      <c r="O359" s="56"/>
      <c r="P359" s="56"/>
      <c r="Q359" s="98"/>
      <c r="R359" s="98"/>
      <c r="S359" s="98"/>
      <c r="T359" s="98"/>
      <c r="U359" s="98"/>
      <c r="V359" s="98"/>
      <c r="W359" s="98"/>
      <c r="X359" s="98"/>
      <c r="Y359" s="98"/>
      <c r="Z359" s="98"/>
    </row>
    <row r="360" spans="1:26">
      <c r="A360" s="56"/>
      <c r="B360" s="56"/>
      <c r="C360" s="56"/>
      <c r="D360" s="56"/>
      <c r="E360" s="56"/>
      <c r="F360" s="56"/>
      <c r="G360" s="56"/>
      <c r="H360" s="56"/>
      <c r="I360" s="56"/>
      <c r="J360" s="56"/>
      <c r="K360" s="56"/>
      <c r="L360" s="56"/>
      <c r="M360" s="56"/>
      <c r="N360" s="56"/>
      <c r="O360" s="56"/>
      <c r="P360" s="56"/>
      <c r="Q360" s="98"/>
      <c r="R360" s="98"/>
      <c r="S360" s="98"/>
      <c r="T360" s="98"/>
      <c r="U360" s="98"/>
      <c r="V360" s="98"/>
      <c r="W360" s="98"/>
      <c r="X360" s="98"/>
      <c r="Y360" s="98"/>
      <c r="Z360" s="98"/>
    </row>
    <row r="361" spans="1:26">
      <c r="A361" s="56"/>
      <c r="B361" s="56"/>
      <c r="C361" s="56"/>
      <c r="D361" s="56"/>
      <c r="E361" s="56"/>
      <c r="F361" s="56"/>
      <c r="G361" s="56"/>
      <c r="H361" s="56"/>
      <c r="I361" s="56"/>
      <c r="J361" s="56"/>
      <c r="K361" s="56"/>
      <c r="L361" s="56"/>
      <c r="M361" s="56"/>
      <c r="N361" s="56"/>
      <c r="O361" s="56"/>
      <c r="P361" s="56"/>
      <c r="Q361" s="98"/>
      <c r="R361" s="98"/>
      <c r="S361" s="98"/>
      <c r="T361" s="98"/>
      <c r="U361" s="98"/>
      <c r="V361" s="98"/>
      <c r="W361" s="98"/>
      <c r="X361" s="98"/>
      <c r="Y361" s="98"/>
      <c r="Z361" s="98"/>
    </row>
    <row r="362" spans="1:26">
      <c r="A362" s="56"/>
      <c r="B362" s="56"/>
      <c r="C362" s="56"/>
      <c r="D362" s="56"/>
      <c r="E362" s="56"/>
      <c r="F362" s="56"/>
      <c r="G362" s="56"/>
      <c r="H362" s="56"/>
      <c r="I362" s="56"/>
      <c r="J362" s="56"/>
      <c r="K362" s="56"/>
      <c r="L362" s="56"/>
      <c r="M362" s="56"/>
      <c r="N362" s="56"/>
      <c r="O362" s="56"/>
      <c r="P362" s="56"/>
      <c r="Q362" s="98"/>
      <c r="R362" s="98"/>
      <c r="S362" s="98"/>
      <c r="T362" s="98"/>
      <c r="U362" s="98"/>
      <c r="V362" s="98"/>
      <c r="W362" s="98"/>
      <c r="X362" s="98"/>
      <c r="Y362" s="98"/>
      <c r="Z362" s="98"/>
    </row>
    <row r="363" spans="1:26">
      <c r="A363" s="56"/>
      <c r="B363" s="56"/>
      <c r="C363" s="56"/>
      <c r="D363" s="56"/>
      <c r="E363" s="56"/>
      <c r="F363" s="56"/>
      <c r="G363" s="56"/>
      <c r="H363" s="56"/>
      <c r="I363" s="56"/>
      <c r="J363" s="56"/>
      <c r="K363" s="56"/>
      <c r="L363" s="56"/>
      <c r="M363" s="56"/>
      <c r="N363" s="56"/>
      <c r="O363" s="56"/>
      <c r="P363" s="56"/>
      <c r="Q363" s="98"/>
      <c r="R363" s="98"/>
      <c r="S363" s="98"/>
      <c r="T363" s="98"/>
      <c r="U363" s="98"/>
      <c r="V363" s="98"/>
      <c r="W363" s="98"/>
      <c r="X363" s="98"/>
      <c r="Y363" s="98"/>
      <c r="Z363" s="98"/>
    </row>
    <row r="364" spans="1:26">
      <c r="A364" s="56"/>
      <c r="B364" s="56"/>
      <c r="C364" s="56"/>
      <c r="D364" s="56"/>
      <c r="E364" s="56"/>
      <c r="F364" s="56"/>
      <c r="G364" s="56"/>
      <c r="H364" s="56"/>
      <c r="I364" s="56"/>
      <c r="J364" s="56"/>
      <c r="K364" s="56"/>
      <c r="L364" s="56"/>
      <c r="M364" s="56"/>
      <c r="N364" s="56"/>
      <c r="O364" s="56"/>
      <c r="P364" s="56"/>
      <c r="Q364" s="98"/>
      <c r="R364" s="98"/>
      <c r="S364" s="98"/>
      <c r="T364" s="98"/>
      <c r="U364" s="98"/>
      <c r="V364" s="98"/>
      <c r="W364" s="98"/>
      <c r="X364" s="98"/>
      <c r="Y364" s="98"/>
      <c r="Z364" s="98"/>
    </row>
    <row r="365" spans="1:26">
      <c r="A365" s="56"/>
      <c r="B365" s="56"/>
      <c r="C365" s="56"/>
      <c r="D365" s="56"/>
      <c r="E365" s="56"/>
      <c r="F365" s="56"/>
      <c r="G365" s="56"/>
      <c r="H365" s="56"/>
      <c r="I365" s="56"/>
      <c r="J365" s="56"/>
      <c r="K365" s="56"/>
      <c r="L365" s="56"/>
      <c r="M365" s="56"/>
      <c r="N365" s="56"/>
      <c r="O365" s="56"/>
      <c r="P365" s="56"/>
      <c r="Q365" s="98"/>
      <c r="R365" s="98"/>
      <c r="S365" s="98"/>
      <c r="T365" s="98"/>
      <c r="U365" s="98"/>
      <c r="V365" s="98"/>
      <c r="W365" s="98"/>
      <c r="X365" s="98"/>
      <c r="Y365" s="98"/>
      <c r="Z365" s="98"/>
    </row>
    <row r="366" spans="1:26">
      <c r="A366" s="56"/>
      <c r="B366" s="56"/>
      <c r="C366" s="56"/>
      <c r="D366" s="56"/>
      <c r="E366" s="56"/>
      <c r="F366" s="56"/>
      <c r="G366" s="56"/>
      <c r="H366" s="56"/>
      <c r="I366" s="56"/>
      <c r="J366" s="56"/>
      <c r="K366" s="56"/>
      <c r="L366" s="56"/>
      <c r="M366" s="56"/>
      <c r="N366" s="56"/>
      <c r="O366" s="56"/>
      <c r="P366" s="56"/>
      <c r="Q366" s="98"/>
      <c r="R366" s="98"/>
      <c r="S366" s="98"/>
      <c r="T366" s="98"/>
      <c r="U366" s="98"/>
      <c r="V366" s="98"/>
      <c r="W366" s="98"/>
      <c r="X366" s="98"/>
      <c r="Y366" s="98"/>
      <c r="Z366" s="98"/>
    </row>
    <row r="367" spans="1:26">
      <c r="A367" s="56"/>
      <c r="B367" s="56"/>
      <c r="C367" s="56"/>
      <c r="D367" s="56"/>
      <c r="E367" s="56"/>
      <c r="F367" s="56"/>
      <c r="G367" s="56"/>
      <c r="H367" s="56"/>
      <c r="I367" s="56"/>
      <c r="J367" s="56"/>
      <c r="K367" s="56"/>
      <c r="L367" s="56"/>
      <c r="M367" s="56"/>
      <c r="N367" s="56"/>
      <c r="O367" s="56"/>
      <c r="P367" s="56"/>
      <c r="Q367" s="98"/>
      <c r="R367" s="98"/>
      <c r="S367" s="98"/>
      <c r="T367" s="98"/>
      <c r="U367" s="98"/>
      <c r="V367" s="98"/>
      <c r="W367" s="98"/>
      <c r="X367" s="98"/>
      <c r="Y367" s="98"/>
      <c r="Z367" s="98"/>
    </row>
  </sheetData>
  <sheetProtection selectLockedCells="1" selectUnlockedCells="1"/>
  <mergeCells count="25">
    <mergeCell ref="A270:B270"/>
    <mergeCell ref="A269:B269"/>
    <mergeCell ref="A101:P101"/>
    <mergeCell ref="A173:P173"/>
    <mergeCell ref="A161:P161"/>
    <mergeCell ref="A149:P149"/>
    <mergeCell ref="A221:O221"/>
    <mergeCell ref="A197:O197"/>
    <mergeCell ref="A113:P113"/>
    <mergeCell ref="A125:P125"/>
    <mergeCell ref="A137:P137"/>
    <mergeCell ref="A185:O185"/>
    <mergeCell ref="A209:O209"/>
    <mergeCell ref="A233:O233"/>
    <mergeCell ref="A89:P89"/>
    <mergeCell ref="A1:P1"/>
    <mergeCell ref="A2:P2"/>
    <mergeCell ref="A3:P3"/>
    <mergeCell ref="A5:P5"/>
    <mergeCell ref="A13:P13"/>
    <mergeCell ref="A25:P25"/>
    <mergeCell ref="A38:P38"/>
    <mergeCell ref="A51:P51"/>
    <mergeCell ref="A63:P63"/>
    <mergeCell ref="A76:P76"/>
  </mergeCells>
  <phoneticPr fontId="11" type="noConversion"/>
  <conditionalFormatting sqref="H253:N254">
    <cfRule type="cellIs" dxfId="52" priority="30" operator="lessThanOrEqual">
      <formula>0</formula>
    </cfRule>
  </conditionalFormatting>
  <conditionalFormatting sqref="H267:N267">
    <cfRule type="cellIs" dxfId="51" priority="29" operator="lessThanOrEqual">
      <formula>0</formula>
    </cfRule>
  </conditionalFormatting>
  <printOptions horizontalCentered="1" verticalCentered="1"/>
  <pageMargins left="0.28000000000000003" right="0.22" top="0.34" bottom="0.24" header="0" footer="0"/>
  <pageSetup paperSize="9" scale="31" orientation="landscape" verticalDpi="597"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2" customWidth="1"/>
  </cols>
  <sheetData>
    <row r="1" spans="1:15" hidden="1">
      <c r="A1" s="8">
        <v>6</v>
      </c>
      <c r="B1" s="9"/>
      <c r="C1" s="8" t="s">
        <v>103</v>
      </c>
      <c r="D1" s="8"/>
      <c r="E1" s="8"/>
      <c r="F1" s="8"/>
      <c r="G1" s="8"/>
      <c r="H1" s="8"/>
      <c r="I1" s="8"/>
      <c r="J1" s="8"/>
      <c r="K1" s="505"/>
      <c r="L1" s="8"/>
      <c r="M1" s="8"/>
      <c r="N1" s="8"/>
    </row>
    <row r="2" spans="1:15" hidden="1">
      <c r="A2" s="10"/>
      <c r="B2" s="10"/>
      <c r="C2" s="10"/>
      <c r="D2" s="10"/>
      <c r="E2" s="10"/>
      <c r="F2" s="10"/>
      <c r="G2" s="10"/>
      <c r="H2" s="10"/>
      <c r="I2" s="10"/>
      <c r="J2" s="10"/>
      <c r="K2" s="506"/>
      <c r="L2" s="10"/>
      <c r="M2" s="10"/>
      <c r="N2" s="10"/>
    </row>
    <row r="3" spans="1:15" ht="34.200000000000003" hidden="1">
      <c r="A3" s="10"/>
      <c r="B3" s="10"/>
      <c r="C3" s="11" t="s">
        <v>104</v>
      </c>
      <c r="D3" s="12" t="s">
        <v>78</v>
      </c>
      <c r="E3" s="13" t="s">
        <v>79</v>
      </c>
      <c r="F3" s="13" t="s">
        <v>80</v>
      </c>
      <c r="G3" s="13" t="s">
        <v>81</v>
      </c>
      <c r="H3" s="13" t="s">
        <v>82</v>
      </c>
      <c r="I3" s="13" t="s">
        <v>83</v>
      </c>
      <c r="J3" s="13"/>
      <c r="K3" s="507"/>
      <c r="L3" s="13" t="s">
        <v>84</v>
      </c>
      <c r="M3" s="14" t="s">
        <v>51</v>
      </c>
      <c r="N3" s="14" t="s">
        <v>85</v>
      </c>
      <c r="O3" s="41" t="s">
        <v>152</v>
      </c>
    </row>
    <row r="4" spans="1:15" hidden="1">
      <c r="A4" s="10"/>
      <c r="B4" s="10"/>
      <c r="C4" s="15"/>
      <c r="D4" s="16"/>
      <c r="E4" s="17"/>
      <c r="F4" s="23"/>
      <c r="G4" s="23"/>
      <c r="H4" s="23"/>
      <c r="I4" s="23"/>
      <c r="J4" s="23"/>
      <c r="K4" s="508"/>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09"/>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09"/>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0"/>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09"/>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09"/>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09"/>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09"/>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0"/>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09"/>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09"/>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1"/>
      <c r="L15" s="29">
        <v>241.3763350339668</v>
      </c>
      <c r="M15" s="29">
        <v>3133.5911940781161</v>
      </c>
      <c r="N15" s="29">
        <v>58404.004476027134</v>
      </c>
      <c r="O15" s="4">
        <f t="shared" si="0"/>
        <v>1</v>
      </c>
    </row>
    <row r="16" spans="1:15" hidden="1"/>
    <row r="17" spans="3:13" hidden="1"/>
    <row r="18" spans="3:13" ht="15" thickBot="1"/>
    <row r="19" spans="3:13" ht="27.6">
      <c r="C19" s="2" t="s">
        <v>159</v>
      </c>
      <c r="D19" s="309" t="s">
        <v>0</v>
      </c>
      <c r="E19" s="310" t="s">
        <v>1</v>
      </c>
      <c r="F19" s="310" t="s">
        <v>2</v>
      </c>
      <c r="G19" s="310" t="s">
        <v>3</v>
      </c>
      <c r="H19" s="310">
        <v>2012</v>
      </c>
      <c r="I19" s="310">
        <v>2013</v>
      </c>
      <c r="J19" s="310">
        <v>2014</v>
      </c>
      <c r="K19" s="512">
        <v>2015</v>
      </c>
      <c r="L19" s="311" t="s">
        <v>526</v>
      </c>
      <c r="M19" s="298" t="s">
        <v>527</v>
      </c>
    </row>
    <row r="20" spans="3:13" ht="15" thickBot="1">
      <c r="C20" s="2"/>
      <c r="D20" s="307" t="s">
        <v>0</v>
      </c>
      <c r="E20" s="308" t="s">
        <v>1</v>
      </c>
      <c r="F20" s="308" t="s">
        <v>2</v>
      </c>
      <c r="G20" s="308" t="s">
        <v>3</v>
      </c>
      <c r="H20" s="308" t="s">
        <v>34</v>
      </c>
      <c r="I20" s="308" t="s">
        <v>35</v>
      </c>
      <c r="J20" s="308" t="s">
        <v>325</v>
      </c>
      <c r="K20" s="513" t="s">
        <v>391</v>
      </c>
      <c r="L20" s="312"/>
      <c r="M20" s="313"/>
    </row>
    <row r="21" spans="3:13">
      <c r="C21" s="205" t="s">
        <v>105</v>
      </c>
      <c r="D21" s="301">
        <v>13239.745999999983</v>
      </c>
      <c r="E21" s="301">
        <v>12495.322199999995</v>
      </c>
      <c r="F21" s="301">
        <v>8894.5076744019807</v>
      </c>
      <c r="G21" s="301">
        <v>18672.984000000026</v>
      </c>
      <c r="H21" s="301">
        <v>13736.451855140673</v>
      </c>
      <c r="I21" s="301">
        <v>26373.792086318426</v>
      </c>
      <c r="J21" s="301">
        <v>19501.883845000051</v>
      </c>
      <c r="K21" s="514">
        <v>17497.714020000003</v>
      </c>
      <c r="L21" s="299">
        <f>K21/J21-1</f>
        <v>-0.1027680115895</v>
      </c>
      <c r="M21" s="300">
        <f>K21/$K$31</f>
        <v>0.37074571280172297</v>
      </c>
    </row>
    <row r="22" spans="3:13">
      <c r="C22" s="302" t="s">
        <v>106</v>
      </c>
      <c r="D22" s="303">
        <v>1857.3096</v>
      </c>
      <c r="E22" s="303">
        <v>2819.8559</v>
      </c>
      <c r="F22" s="303">
        <v>1844.9585313860007</v>
      </c>
      <c r="G22" s="303">
        <v>1672.0225000000007</v>
      </c>
      <c r="H22" s="303">
        <v>4216.5609551567995</v>
      </c>
      <c r="I22" s="303">
        <v>1674.3568979732815</v>
      </c>
      <c r="J22" s="303">
        <v>2471.3890039999997</v>
      </c>
      <c r="K22" s="515">
        <v>1562.1116799999998</v>
      </c>
      <c r="L22" s="299">
        <f t="shared" ref="L22:L31" si="1">K22/J22-1</f>
        <v>-0.36792157063429265</v>
      </c>
      <c r="M22" s="300">
        <f t="shared" ref="M22:M31" si="2">K22/$K$31</f>
        <v>3.309839260234388E-2</v>
      </c>
    </row>
    <row r="23" spans="3:13">
      <c r="C23" s="302" t="s">
        <v>160</v>
      </c>
      <c r="D23" s="303">
        <v>1995.6791999999996</v>
      </c>
      <c r="E23" s="303">
        <v>4713.5298999999959</v>
      </c>
      <c r="F23" s="303">
        <v>1302.9254169859998</v>
      </c>
      <c r="G23" s="303">
        <v>763.69920000000013</v>
      </c>
      <c r="H23" s="303">
        <v>2595.3003655614798</v>
      </c>
      <c r="I23" s="303">
        <v>772.41570245758987</v>
      </c>
      <c r="J23" s="303">
        <v>2295.2096409999999</v>
      </c>
      <c r="K23" s="515">
        <v>1524.1222899999996</v>
      </c>
      <c r="L23" s="299">
        <f t="shared" si="1"/>
        <v>-0.33595508542045216</v>
      </c>
      <c r="M23" s="300">
        <f t="shared" si="2"/>
        <v>3.2293464400959739E-2</v>
      </c>
    </row>
    <row r="24" spans="3:13">
      <c r="C24" s="302" t="s">
        <v>382</v>
      </c>
      <c r="D24" s="303">
        <v>1475.6405</v>
      </c>
      <c r="E24" s="303">
        <v>2760.4021000000016</v>
      </c>
      <c r="F24" s="303">
        <v>1983.8425336830003</v>
      </c>
      <c r="G24" s="303">
        <v>1081.6529999999998</v>
      </c>
      <c r="H24" s="303">
        <v>1446.4001103799312</v>
      </c>
      <c r="I24" s="303">
        <v>617.63839431148779</v>
      </c>
      <c r="J24" s="303">
        <v>597.55937699999993</v>
      </c>
      <c r="K24" s="515">
        <v>1519.82437</v>
      </c>
      <c r="L24" s="299">
        <f t="shared" si="1"/>
        <v>1.543386362088667</v>
      </c>
      <c r="M24" s="300">
        <f t="shared" si="2"/>
        <v>3.2202399053100961E-2</v>
      </c>
    </row>
    <row r="25" spans="3:13">
      <c r="C25" s="302" t="s">
        <v>161</v>
      </c>
      <c r="D25" s="303">
        <v>8995.7961000000232</v>
      </c>
      <c r="E25" s="303">
        <v>2803.8976000000011</v>
      </c>
      <c r="F25" s="303">
        <v>310.79395873999999</v>
      </c>
      <c r="G25" s="303">
        <v>12013.107300000016</v>
      </c>
      <c r="H25" s="303">
        <v>15467.708675310212</v>
      </c>
      <c r="I25" s="303">
        <v>16558.521435705166</v>
      </c>
      <c r="J25" s="303">
        <v>14784.496913999968</v>
      </c>
      <c r="K25" s="515">
        <v>19371.083789999917</v>
      </c>
      <c r="L25" s="299">
        <f t="shared" si="1"/>
        <v>0.31022948583774568</v>
      </c>
      <c r="M25" s="300">
        <f t="shared" si="2"/>
        <v>0.41043911560428048</v>
      </c>
    </row>
    <row r="26" spans="3:13">
      <c r="C26" s="302" t="s">
        <v>110</v>
      </c>
      <c r="D26" s="303">
        <v>824.88669999999991</v>
      </c>
      <c r="E26" s="303">
        <v>13831.536599999999</v>
      </c>
      <c r="F26" s="303">
        <v>22495.085757627156</v>
      </c>
      <c r="G26" s="303">
        <v>4203.7756999999956</v>
      </c>
      <c r="H26" s="303">
        <v>2396.846306384286</v>
      </c>
      <c r="I26" s="303">
        <v>6864.7551119544241</v>
      </c>
      <c r="J26" s="303">
        <v>10234.717647999996</v>
      </c>
      <c r="K26" s="515">
        <v>4317.7779699999955</v>
      </c>
      <c r="L26" s="299">
        <f t="shared" si="1"/>
        <v>-0.57812436859518557</v>
      </c>
      <c r="M26" s="300">
        <f t="shared" si="2"/>
        <v>9.148610323482842E-2</v>
      </c>
    </row>
    <row r="27" spans="3:13">
      <c r="C27" s="302" t="s">
        <v>111</v>
      </c>
      <c r="D27" s="303">
        <v>689.54480000000001</v>
      </c>
      <c r="E27" s="303">
        <v>192.96079999999998</v>
      </c>
      <c r="F27" s="303">
        <v>172.13574422699998</v>
      </c>
      <c r="G27" s="303">
        <v>168.03309999999999</v>
      </c>
      <c r="H27" s="303">
        <v>487.17015839028539</v>
      </c>
      <c r="I27" s="303">
        <v>471.70656455269062</v>
      </c>
      <c r="J27" s="303">
        <v>696.993922</v>
      </c>
      <c r="K27" s="515">
        <v>156.20711</v>
      </c>
      <c r="L27" s="299">
        <f t="shared" si="1"/>
        <v>-0.77588454494442494</v>
      </c>
      <c r="M27" s="300">
        <f t="shared" si="2"/>
        <v>3.3097532783683669E-3</v>
      </c>
    </row>
    <row r="28" spans="3:13">
      <c r="C28" s="302" t="s">
        <v>112</v>
      </c>
      <c r="D28" s="303">
        <v>1299.0959999999993</v>
      </c>
      <c r="E28" s="303">
        <v>619.43680000000006</v>
      </c>
      <c r="F28" s="303">
        <v>194.91344108999999</v>
      </c>
      <c r="G28" s="303">
        <v>180.0899</v>
      </c>
      <c r="H28" s="303">
        <v>344.25384841049652</v>
      </c>
      <c r="I28" s="303">
        <v>231.02272727272731</v>
      </c>
      <c r="J28" s="303">
        <v>387.14857900000004</v>
      </c>
      <c r="K28" s="515">
        <v>388.22586000000001</v>
      </c>
      <c r="L28" s="299">
        <f t="shared" si="1"/>
        <v>2.7826035233877722E-3</v>
      </c>
      <c r="M28" s="300">
        <f t="shared" si="2"/>
        <v>8.2258215575614878E-3</v>
      </c>
    </row>
    <row r="29" spans="3:13">
      <c r="C29" s="302" t="s">
        <v>51</v>
      </c>
      <c r="D29" s="303">
        <v>15206.300700000002</v>
      </c>
      <c r="E29" s="303">
        <v>269.32</v>
      </c>
      <c r="F29" s="303">
        <v>8893.8369406409802</v>
      </c>
      <c r="G29" s="303">
        <v>1256.2766000000001</v>
      </c>
      <c r="H29" s="303">
        <v>4534.307725265855</v>
      </c>
      <c r="I29" s="303">
        <v>717.05031520458465</v>
      </c>
      <c r="J29" s="303">
        <v>1313.6009950000005</v>
      </c>
      <c r="K29" s="515">
        <v>858.93117999999981</v>
      </c>
      <c r="L29" s="299">
        <f t="shared" si="1"/>
        <v>-0.34612474924320569</v>
      </c>
      <c r="M29" s="300">
        <f t="shared" si="2"/>
        <v>1.8199237466833676E-2</v>
      </c>
    </row>
    <row r="30" spans="3:13" ht="15" thickBot="1">
      <c r="C30" s="302" t="s">
        <v>74</v>
      </c>
      <c r="D30" s="303">
        <v>-1.4915713109076023E-10</v>
      </c>
      <c r="E30" s="303">
        <v>6289.7469999999967</v>
      </c>
      <c r="F30" s="303"/>
      <c r="G30" s="303">
        <v>2986.5</v>
      </c>
      <c r="H30" s="303"/>
      <c r="I30" s="303">
        <v>761.60351421809833</v>
      </c>
      <c r="J30" s="303"/>
      <c r="K30" s="515"/>
      <c r="L30" s="299" t="s">
        <v>390</v>
      </c>
      <c r="M30" s="300">
        <f t="shared" si="2"/>
        <v>0</v>
      </c>
    </row>
    <row r="31" spans="3:13" ht="15" thickBot="1">
      <c r="C31" s="304" t="s">
        <v>52</v>
      </c>
      <c r="D31" s="305">
        <f t="shared" ref="D31:I31" si="3">SUM(D21:D30)</f>
        <v>45583.99959999985</v>
      </c>
      <c r="E31" s="305">
        <f t="shared" si="3"/>
        <v>46796.008899999993</v>
      </c>
      <c r="F31" s="305">
        <f t="shared" si="3"/>
        <v>46092.999998782121</v>
      </c>
      <c r="G31" s="305">
        <f t="shared" si="3"/>
        <v>42998.141300000032</v>
      </c>
      <c r="H31" s="305">
        <f t="shared" si="3"/>
        <v>45225.000000000015</v>
      </c>
      <c r="I31" s="305">
        <f t="shared" si="3"/>
        <v>55042.862749968481</v>
      </c>
      <c r="J31" s="305">
        <f>SUM(J21:J30)</f>
        <v>52282.999925000026</v>
      </c>
      <c r="K31" s="516">
        <f>SUM(K21:K30)</f>
        <v>47195.998269999916</v>
      </c>
      <c r="L31" s="306">
        <f t="shared" si="1"/>
        <v>-9.7297432478959056E-2</v>
      </c>
      <c r="M31" s="229">
        <f t="shared" si="2"/>
        <v>1</v>
      </c>
    </row>
    <row r="32" spans="3:13" s="22" customFormat="1" ht="12">
      <c r="C32" s="55" t="s">
        <v>392</v>
      </c>
      <c r="K32" s="517"/>
    </row>
    <row r="33" spans="3:11" s="22" customFormat="1" ht="12">
      <c r="K33" s="517"/>
    </row>
    <row r="34" spans="3:11" s="22" customFormat="1" ht="12">
      <c r="C34" s="296" t="s">
        <v>515</v>
      </c>
      <c r="D34" s="297"/>
      <c r="E34" s="40"/>
      <c r="F34" s="40"/>
      <c r="G34" s="40"/>
      <c r="H34" s="40"/>
      <c r="I34" s="40"/>
      <c r="J34" s="40"/>
      <c r="K34" s="518"/>
    </row>
    <row r="35" spans="3:11" s="22" customFormat="1" ht="12">
      <c r="C35" s="5799" t="s">
        <v>520</v>
      </c>
      <c r="D35" s="5799"/>
      <c r="E35" s="5799"/>
      <c r="F35" s="5799"/>
      <c r="G35" s="5799"/>
      <c r="H35" s="5799"/>
      <c r="I35" s="5799"/>
      <c r="J35" s="5799"/>
      <c r="K35" s="5799"/>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2"/>
    </row>
    <row r="2" spans="3:12" s="49" customFormat="1" ht="27.6">
      <c r="C2" s="49" t="s">
        <v>113</v>
      </c>
      <c r="D2" s="49" t="s">
        <v>0</v>
      </c>
      <c r="E2" s="49" t="s">
        <v>1</v>
      </c>
      <c r="F2" s="49" t="s">
        <v>2</v>
      </c>
      <c r="G2" s="49" t="s">
        <v>3</v>
      </c>
      <c r="H2" s="49" t="s">
        <v>386</v>
      </c>
      <c r="I2" s="49" t="s">
        <v>35</v>
      </c>
      <c r="J2" s="49" t="s">
        <v>387</v>
      </c>
      <c r="K2" s="491" t="s">
        <v>569</v>
      </c>
      <c r="L2" s="221" t="s">
        <v>527</v>
      </c>
    </row>
    <row r="3" spans="3:12">
      <c r="C3" t="s">
        <v>114</v>
      </c>
      <c r="D3" s="38">
        <v>7834.6702000000196</v>
      </c>
      <c r="E3" s="38">
        <v>10453.356300000009</v>
      </c>
      <c r="F3" s="38">
        <v>10797.263907121964</v>
      </c>
      <c r="G3" s="38">
        <v>12090.68770000002</v>
      </c>
      <c r="H3" s="38">
        <v>16510.36204755463</v>
      </c>
      <c r="I3" s="38">
        <v>22535.858875717491</v>
      </c>
      <c r="J3" s="38">
        <v>21243.647722000023</v>
      </c>
      <c r="K3" s="481">
        <v>27078.028509999971</v>
      </c>
      <c r="L3" s="222">
        <f>K3/$K$7</f>
        <v>0.57373568740068503</v>
      </c>
    </row>
    <row r="4" spans="3:12">
      <c r="C4" t="s">
        <v>383</v>
      </c>
      <c r="D4" s="38">
        <v>3816.4852999999989</v>
      </c>
      <c r="E4" s="38">
        <v>8076.5639999999958</v>
      </c>
      <c r="F4" s="38">
        <v>7912.4562185029954</v>
      </c>
      <c r="G4" s="38">
        <v>7082.5749999999798</v>
      </c>
      <c r="H4" s="38">
        <v>7583.753029592639</v>
      </c>
      <c r="I4" s="38">
        <v>14832.094800228568</v>
      </c>
      <c r="J4" s="38">
        <v>18287.635821000014</v>
      </c>
      <c r="K4" s="481">
        <v>11126.278839999995</v>
      </c>
      <c r="L4" s="222">
        <f>K4/$K$7</f>
        <v>0.23574623374525358</v>
      </c>
    </row>
    <row r="5" spans="3:12">
      <c r="C5" t="s">
        <v>384</v>
      </c>
      <c r="D5" s="38">
        <v>2010.8206999999995</v>
      </c>
      <c r="E5" s="38">
        <v>6798.6598999999969</v>
      </c>
      <c r="F5" s="38">
        <v>4866.9628868059917</v>
      </c>
      <c r="G5" s="38">
        <v>2894.5822999999987</v>
      </c>
      <c r="H5" s="38">
        <v>2170.4850952769793</v>
      </c>
      <c r="I5" s="38">
        <v>2128.7798255194152</v>
      </c>
      <c r="J5" s="38">
        <v>5586.8732200000013</v>
      </c>
      <c r="K5" s="481">
        <v>8991.6909199999973</v>
      </c>
      <c r="L5" s="222">
        <f>K5/$K$7</f>
        <v>0.19051807885406136</v>
      </c>
    </row>
    <row r="6" spans="3:12">
      <c r="C6" s="1" t="s">
        <v>385</v>
      </c>
      <c r="D6" s="38">
        <v>31922.023399999838</v>
      </c>
      <c r="E6" s="38">
        <v>21467.428699999953</v>
      </c>
      <c r="F6" s="38">
        <v>22516.31698635115</v>
      </c>
      <c r="G6" s="38">
        <v>20929.409700000033</v>
      </c>
      <c r="H6" s="38">
        <v>18960.399827575795</v>
      </c>
      <c r="I6" s="38">
        <v>15546.129248502992</v>
      </c>
      <c r="J6" s="38">
        <v>7164.843162000001</v>
      </c>
      <c r="K6" s="481"/>
      <c r="L6" s="222">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1">
        <f t="shared" si="0"/>
        <v>47195.998269999967</v>
      </c>
      <c r="L7" s="222">
        <f>K7/$K$7</f>
        <v>1</v>
      </c>
    </row>
    <row r="8" spans="3:12">
      <c r="K8" s="52"/>
    </row>
    <row r="9" spans="3:12">
      <c r="K9" s="52"/>
    </row>
  </sheetData>
  <sortState xmlns:xlrd2="http://schemas.microsoft.com/office/spreadsheetml/2017/richdata2" ref="C5:O8">
    <sortCondition descending="1" ref="O5:O8"/>
  </sortState>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2" customWidth="1"/>
    <col min="12" max="13" width="11.5546875" bestFit="1" customWidth="1"/>
    <col min="14" max="14" width="12.5546875" bestFit="1" customWidth="1"/>
  </cols>
  <sheetData>
    <row r="2" spans="3:12" ht="27.6">
      <c r="C2" t="s">
        <v>115</v>
      </c>
      <c r="D2" t="s">
        <v>0</v>
      </c>
      <c r="E2" t="s">
        <v>1</v>
      </c>
      <c r="F2" t="s">
        <v>2</v>
      </c>
      <c r="G2" t="s">
        <v>3</v>
      </c>
      <c r="H2" t="s">
        <v>386</v>
      </c>
      <c r="I2" t="s">
        <v>35</v>
      </c>
      <c r="J2" t="s">
        <v>325</v>
      </c>
      <c r="K2" s="52" t="s">
        <v>391</v>
      </c>
      <c r="L2" s="221" t="s">
        <v>527</v>
      </c>
    </row>
    <row r="3" spans="3:12">
      <c r="C3" t="s">
        <v>162</v>
      </c>
      <c r="D3" s="38">
        <v>22965.739300000023</v>
      </c>
      <c r="E3" s="38">
        <v>12776.6731</v>
      </c>
      <c r="F3" s="38">
        <v>25446.952943271273</v>
      </c>
      <c r="G3" s="38">
        <v>2613.2542000000012</v>
      </c>
      <c r="H3" s="38">
        <v>7093.2484835722307</v>
      </c>
      <c r="I3" s="38">
        <v>2846.951480911725</v>
      </c>
      <c r="J3" s="38">
        <v>1648.0234559999999</v>
      </c>
      <c r="K3" s="519">
        <v>3623.3387499999963</v>
      </c>
      <c r="L3" s="222">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19">
        <v>43572.659519999717</v>
      </c>
      <c r="L4" s="222">
        <f>K4/$K$6</f>
        <v>0.92322783958776478</v>
      </c>
    </row>
    <row r="5" spans="3:12">
      <c r="C5" t="s">
        <v>74</v>
      </c>
      <c r="D5" s="38"/>
      <c r="E5" s="38"/>
      <c r="F5" s="38"/>
      <c r="G5" s="38"/>
      <c r="H5" s="38"/>
      <c r="I5" s="38">
        <v>763.90478233789759</v>
      </c>
      <c r="J5" s="38"/>
      <c r="L5" s="222">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1">
        <f>SUM(K3:K5)</f>
        <v>47195.998269999713</v>
      </c>
      <c r="L6" s="222">
        <f>J6/$J$6</f>
        <v>1</v>
      </c>
    </row>
    <row r="7" spans="3:12">
      <c r="C7" s="55" t="s">
        <v>392</v>
      </c>
      <c r="D7" s="22"/>
      <c r="E7" s="22"/>
      <c r="F7" s="22"/>
      <c r="G7" s="22"/>
      <c r="H7" s="22"/>
      <c r="I7" s="22"/>
      <c r="J7" s="22"/>
      <c r="K7" s="517"/>
    </row>
    <row r="8" spans="3:12">
      <c r="C8" s="22"/>
      <c r="D8" s="22"/>
      <c r="E8" s="22"/>
      <c r="F8" s="22"/>
      <c r="G8" s="22"/>
      <c r="H8" s="22"/>
      <c r="I8" s="22"/>
      <c r="J8" s="22"/>
      <c r="K8" s="517"/>
    </row>
    <row r="9" spans="3:12">
      <c r="C9" s="296" t="s">
        <v>515</v>
      </c>
      <c r="D9" s="297"/>
      <c r="E9" s="40"/>
      <c r="F9" s="40"/>
      <c r="G9" s="40"/>
      <c r="H9" s="40"/>
      <c r="I9" s="40"/>
      <c r="J9" s="40"/>
      <c r="K9" s="518"/>
    </row>
    <row r="10" spans="3:12">
      <c r="C10" s="5799" t="s">
        <v>520</v>
      </c>
      <c r="D10" s="5799"/>
      <c r="E10" s="5799"/>
      <c r="F10" s="5799"/>
      <c r="G10" s="5799"/>
      <c r="H10" s="5799"/>
      <c r="I10" s="5799"/>
      <c r="J10" s="5799"/>
      <c r="K10" s="5799"/>
    </row>
  </sheetData>
  <mergeCells count="1">
    <mergeCell ref="C10:K10"/>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2" customWidth="1"/>
    <col min="12" max="12" width="12.44140625" bestFit="1" customWidth="1"/>
  </cols>
  <sheetData>
    <row r="1" spans="3:13" ht="15" thickBot="1"/>
    <row r="2" spans="3:13" s="50" customFormat="1" ht="29.4" thickBot="1">
      <c r="C2" s="318" t="s">
        <v>120</v>
      </c>
      <c r="D2" s="319" t="s">
        <v>0</v>
      </c>
      <c r="E2" s="319" t="s">
        <v>1</v>
      </c>
      <c r="F2" s="319" t="s">
        <v>2</v>
      </c>
      <c r="G2" s="319" t="s">
        <v>3</v>
      </c>
      <c r="H2" s="319" t="s">
        <v>34</v>
      </c>
      <c r="I2" s="319" t="s">
        <v>35</v>
      </c>
      <c r="J2" s="319" t="s">
        <v>325</v>
      </c>
      <c r="K2" s="520" t="s">
        <v>391</v>
      </c>
      <c r="L2" s="320" t="s">
        <v>394</v>
      </c>
      <c r="M2" s="321" t="s">
        <v>526</v>
      </c>
    </row>
    <row r="3" spans="3:13">
      <c r="C3" s="44" t="s">
        <v>121</v>
      </c>
      <c r="D3" s="314">
        <v>32336.530099999949</v>
      </c>
      <c r="E3" s="314">
        <v>24679.946899999872</v>
      </c>
      <c r="F3" s="314">
        <v>21256.093858909182</v>
      </c>
      <c r="G3" s="314">
        <v>15890.603300000024</v>
      </c>
      <c r="H3" s="314">
        <v>20020.935308979562</v>
      </c>
      <c r="I3" s="314">
        <v>21611.028855261193</v>
      </c>
      <c r="J3" s="314">
        <v>21981</v>
      </c>
      <c r="K3" s="521">
        <v>18313.512170000002</v>
      </c>
      <c r="L3" s="322">
        <f>K3/$K$11</f>
        <v>0.38803103740346051</v>
      </c>
      <c r="M3" s="323">
        <f>K3/J3-1</f>
        <v>-0.16684808834902864</v>
      </c>
    </row>
    <row r="4" spans="3:13">
      <c r="C4" s="44" t="s">
        <v>164</v>
      </c>
      <c r="D4" s="314"/>
      <c r="E4" s="314">
        <v>7791.2270999999964</v>
      </c>
      <c r="F4" s="314">
        <v>6662.9557266029915</v>
      </c>
      <c r="G4" s="314">
        <v>6176.1990999999962</v>
      </c>
      <c r="H4" s="314">
        <v>6339.38923286318</v>
      </c>
      <c r="I4" s="314">
        <v>7090.5157668870879</v>
      </c>
      <c r="J4" s="314">
        <v>8038</v>
      </c>
      <c r="K4" s="521">
        <v>5808.6560599999975</v>
      </c>
      <c r="L4" s="322">
        <f t="shared" ref="L4:L11" si="0">K4/$K$11</f>
        <v>0.12307518164505615</v>
      </c>
      <c r="M4" s="323">
        <f t="shared" ref="M4:M11" si="1">K4/J4-1</f>
        <v>-0.2773505772580247</v>
      </c>
    </row>
    <row r="5" spans="3:13">
      <c r="C5" s="44" t="s">
        <v>123</v>
      </c>
      <c r="D5" s="314">
        <v>10003.477300000019</v>
      </c>
      <c r="E5" s="314">
        <v>9877.881900000004</v>
      </c>
      <c r="F5" s="314">
        <v>12450.116446999938</v>
      </c>
      <c r="G5" s="314">
        <v>15578.369500000048</v>
      </c>
      <c r="H5" s="314">
        <v>14616.853959121179</v>
      </c>
      <c r="I5" s="314">
        <v>22982.330246394082</v>
      </c>
      <c r="J5" s="314">
        <v>18487</v>
      </c>
      <c r="K5" s="521">
        <v>18056.897009999931</v>
      </c>
      <c r="L5" s="322">
        <f t="shared" si="0"/>
        <v>0.38259381455816716</v>
      </c>
      <c r="M5" s="323">
        <f t="shared" si="1"/>
        <v>-2.3265158760213622E-2</v>
      </c>
    </row>
    <row r="6" spans="3:13">
      <c r="C6" s="44" t="s">
        <v>124</v>
      </c>
      <c r="D6" s="314">
        <v>491.54840000000013</v>
      </c>
      <c r="E6" s="314">
        <v>1673.8544999999995</v>
      </c>
      <c r="F6" s="314">
        <v>2514.7855960369998</v>
      </c>
      <c r="G6" s="314">
        <v>624.9807000000003</v>
      </c>
      <c r="H6" s="314">
        <v>1008.9489428592115</v>
      </c>
      <c r="I6" s="314">
        <v>1173.549686607</v>
      </c>
      <c r="J6" s="314">
        <v>884</v>
      </c>
      <c r="K6" s="521">
        <v>847.27788999999984</v>
      </c>
      <c r="L6" s="322">
        <f t="shared" si="0"/>
        <v>1.795232479569292E-2</v>
      </c>
      <c r="M6" s="323">
        <f t="shared" si="1"/>
        <v>-4.15408484162898E-2</v>
      </c>
    </row>
    <row r="7" spans="3:13">
      <c r="C7" s="44" t="s">
        <v>388</v>
      </c>
      <c r="D7" s="314"/>
      <c r="E7" s="314"/>
      <c r="F7" s="314"/>
      <c r="G7" s="314"/>
      <c r="H7" s="314"/>
      <c r="I7" s="314"/>
      <c r="J7" s="314">
        <v>455</v>
      </c>
      <c r="K7" s="521">
        <v>787.64012000000002</v>
      </c>
      <c r="L7" s="322">
        <f t="shared" si="0"/>
        <v>1.6688705586733237E-2</v>
      </c>
      <c r="M7" s="323">
        <f t="shared" si="1"/>
        <v>0.7310771868131869</v>
      </c>
    </row>
    <row r="8" spans="3:13">
      <c r="C8" s="44" t="s">
        <v>122</v>
      </c>
      <c r="D8" s="314"/>
      <c r="E8" s="314">
        <v>1932.4162000000001</v>
      </c>
      <c r="F8" s="314">
        <v>1282.1565052030003</v>
      </c>
      <c r="G8" s="314">
        <v>841.26389999999992</v>
      </c>
      <c r="H8" s="314">
        <v>964.87732881407953</v>
      </c>
      <c r="I8" s="314">
        <v>1397.4109497542097</v>
      </c>
      <c r="J8" s="314">
        <v>1223</v>
      </c>
      <c r="K8" s="522"/>
      <c r="L8" s="322">
        <f t="shared" si="0"/>
        <v>0</v>
      </c>
      <c r="M8" s="323">
        <f>K8/J8-1</f>
        <v>-1</v>
      </c>
    </row>
    <row r="9" spans="3:13">
      <c r="C9" s="315" t="s">
        <v>528</v>
      </c>
      <c r="D9" s="314"/>
      <c r="E9" s="314"/>
      <c r="F9" s="314"/>
      <c r="G9" s="314"/>
      <c r="H9" s="314"/>
      <c r="I9" s="314"/>
      <c r="J9" s="314"/>
      <c r="K9" s="521">
        <v>699.72868000000005</v>
      </c>
      <c r="L9" s="322">
        <f t="shared" si="0"/>
        <v>1.4826017155034553E-2</v>
      </c>
      <c r="M9" s="323"/>
    </row>
    <row r="10" spans="3:13" ht="15" thickBot="1">
      <c r="C10" s="44" t="s">
        <v>125</v>
      </c>
      <c r="D10" s="314">
        <v>2752.4437999999996</v>
      </c>
      <c r="E10" s="314">
        <v>840.68230000000017</v>
      </c>
      <c r="F10" s="314">
        <v>1926.8918650299997</v>
      </c>
      <c r="G10" s="314">
        <v>3885.8381999999951</v>
      </c>
      <c r="H10" s="314">
        <v>2273.9952273627796</v>
      </c>
      <c r="I10" s="314">
        <v>788.02724506486732</v>
      </c>
      <c r="J10" s="314">
        <v>1216</v>
      </c>
      <c r="K10" s="521">
        <v>2682.2863399999992</v>
      </c>
      <c r="L10" s="322">
        <f t="shared" si="0"/>
        <v>5.6832918855855424E-2</v>
      </c>
      <c r="M10" s="323">
        <f t="shared" si="1"/>
        <v>1.2058275822368416</v>
      </c>
    </row>
    <row r="11" spans="3:13" ht="15" thickBot="1">
      <c r="C11" s="316" t="s">
        <v>52</v>
      </c>
      <c r="D11" s="317">
        <v>45583.999599999857</v>
      </c>
      <c r="E11" s="317">
        <v>46796.008900000117</v>
      </c>
      <c r="F11" s="317">
        <v>46092.999998782681</v>
      </c>
      <c r="G11" s="317">
        <v>42997.254700000252</v>
      </c>
      <c r="H11" s="317">
        <v>45224.999999999607</v>
      </c>
      <c r="I11" s="317">
        <v>55042.86274996835</v>
      </c>
      <c r="J11" s="317">
        <v>52283</v>
      </c>
      <c r="K11" s="523">
        <f>SUM(K3:K10)</f>
        <v>47195.998269999931</v>
      </c>
      <c r="L11" s="324">
        <f t="shared" si="0"/>
        <v>1</v>
      </c>
      <c r="M11" s="325">
        <f t="shared" si="1"/>
        <v>-9.7297433773885778E-2</v>
      </c>
    </row>
    <row r="12" spans="3:13">
      <c r="C12" s="55" t="s">
        <v>392</v>
      </c>
      <c r="D12" s="22"/>
      <c r="E12" s="22"/>
      <c r="F12" s="22"/>
      <c r="G12" s="22"/>
      <c r="H12" s="22"/>
      <c r="I12" s="22"/>
      <c r="J12" s="22"/>
      <c r="K12" s="517"/>
    </row>
    <row r="13" spans="3:13">
      <c r="C13" s="22"/>
      <c r="D13" s="22"/>
      <c r="E13" s="22"/>
      <c r="F13" s="22"/>
      <c r="G13" s="22"/>
      <c r="H13" s="22"/>
      <c r="I13" s="22"/>
      <c r="J13" s="22"/>
      <c r="K13" s="517"/>
    </row>
    <row r="14" spans="3:13">
      <c r="C14" s="296" t="s">
        <v>515</v>
      </c>
      <c r="D14" s="297"/>
      <c r="E14" s="40"/>
      <c r="F14" s="40"/>
      <c r="G14" s="40"/>
      <c r="H14" s="40"/>
      <c r="I14" s="40"/>
      <c r="J14" s="40"/>
      <c r="K14" s="518"/>
    </row>
    <row r="15" spans="3:13">
      <c r="C15" s="5799" t="s">
        <v>520</v>
      </c>
      <c r="D15" s="5799"/>
      <c r="E15" s="5799"/>
      <c r="F15" s="5799"/>
      <c r="G15" s="5799"/>
      <c r="H15" s="5799"/>
      <c r="I15" s="5799"/>
      <c r="J15" s="5799"/>
      <c r="K15" s="5799"/>
    </row>
    <row r="19" spans="15:23">
      <c r="O19" s="296" t="s">
        <v>515</v>
      </c>
      <c r="P19" s="297"/>
      <c r="Q19" s="40"/>
      <c r="R19" s="40"/>
      <c r="S19" s="40"/>
      <c r="T19" s="40"/>
      <c r="U19" s="40"/>
      <c r="V19" s="40"/>
    </row>
    <row r="20" spans="15:23" ht="14.4" customHeight="1">
      <c r="O20" s="2861" t="s">
        <v>520</v>
      </c>
      <c r="P20" s="2861"/>
      <c r="Q20" s="2861"/>
      <c r="R20" s="2861"/>
      <c r="S20" s="2861"/>
      <c r="T20" s="2861"/>
      <c r="U20" s="2861"/>
      <c r="V20" s="2861"/>
      <c r="W20" s="2861"/>
    </row>
  </sheetData>
  <mergeCells count="1">
    <mergeCell ref="C15:K15"/>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zoomScale="80" zoomScaleNormal="80" workbookViewId="0">
      <selection activeCell="K1" sqref="K1:K1048576"/>
    </sheetView>
  </sheetViews>
  <sheetFormatPr baseColWidth="10" defaultRowHeight="14.4"/>
  <cols>
    <col min="1" max="1" width="138.88671875" bestFit="1" customWidth="1"/>
  </cols>
  <sheetData>
    <row r="1" spans="1:1" ht="18">
      <c r="A1" s="1124" t="s">
        <v>921</v>
      </c>
    </row>
    <row r="2" spans="1:1" ht="15.6">
      <c r="A2" s="1125"/>
    </row>
    <row r="3" spans="1:1" ht="15.6">
      <c r="A3" s="1125" t="s">
        <v>922</v>
      </c>
    </row>
    <row r="4" spans="1:1" ht="15.6">
      <c r="A4" s="1125" t="s">
        <v>923</v>
      </c>
    </row>
    <row r="5" spans="1:1" ht="15.6">
      <c r="A5" s="1125" t="s">
        <v>924</v>
      </c>
    </row>
    <row r="6" spans="1:1" ht="15.6">
      <c r="A6" s="1125" t="s">
        <v>925</v>
      </c>
    </row>
    <row r="7" spans="1:1" ht="15.6">
      <c r="A7" s="1125" t="s">
        <v>926</v>
      </c>
    </row>
    <row r="8" spans="1:1">
      <c r="A8" s="1127" t="s">
        <v>927</v>
      </c>
    </row>
    <row r="9" spans="1:1" ht="15.6">
      <c r="A9" s="1125" t="s">
        <v>928</v>
      </c>
    </row>
    <row r="10" spans="1:1" ht="15.6">
      <c r="A10" s="1125" t="s">
        <v>929</v>
      </c>
    </row>
    <row r="11" spans="1:1" ht="15.6">
      <c r="A11" s="1125" t="s">
        <v>930</v>
      </c>
    </row>
    <row r="12" spans="1:1" ht="15.6">
      <c r="A12" s="1125" t="s">
        <v>931</v>
      </c>
    </row>
    <row r="13" spans="1:1" ht="15.6">
      <c r="A13" s="1129" t="s">
        <v>932</v>
      </c>
    </row>
    <row r="14" spans="1:1" ht="15.6">
      <c r="A14" s="1125" t="s">
        <v>933</v>
      </c>
    </row>
    <row r="15" spans="1:1" ht="15.6">
      <c r="A15" s="1125" t="s">
        <v>934</v>
      </c>
    </row>
    <row r="16" spans="1:1" ht="15.6">
      <c r="A16" s="1125" t="s">
        <v>935</v>
      </c>
    </row>
    <row r="17" spans="1:1" ht="15.6">
      <c r="A17" s="1125" t="s">
        <v>936</v>
      </c>
    </row>
    <row r="18" spans="1:1" ht="15.6">
      <c r="A18" s="1125" t="s">
        <v>937</v>
      </c>
    </row>
    <row r="19" spans="1:1" ht="15.6">
      <c r="A19" s="1125" t="s">
        <v>938</v>
      </c>
    </row>
    <row r="20" spans="1:1" ht="15.6">
      <c r="A20" s="1125" t="s">
        <v>939</v>
      </c>
    </row>
    <row r="21" spans="1:1" ht="15.6">
      <c r="A21" s="1125" t="s">
        <v>940</v>
      </c>
    </row>
    <row r="22" spans="1:1" ht="15.6">
      <c r="A22" s="1125" t="s">
        <v>941</v>
      </c>
    </row>
    <row r="23" spans="1:1" ht="15.6">
      <c r="A23" s="1125" t="s">
        <v>942</v>
      </c>
    </row>
    <row r="24" spans="1:1" ht="15.6">
      <c r="A24" s="1125" t="s">
        <v>943</v>
      </c>
    </row>
    <row r="25" spans="1:1" ht="15.6">
      <c r="A25" s="1125" t="s">
        <v>944</v>
      </c>
    </row>
    <row r="26" spans="1:1" ht="15.6">
      <c r="A26" s="1129" t="s">
        <v>945</v>
      </c>
    </row>
    <row r="27" spans="1:1" ht="15.6">
      <c r="A27" s="1125" t="s">
        <v>946</v>
      </c>
    </row>
    <row r="28" spans="1:1" ht="15.6">
      <c r="A28" s="1125" t="s">
        <v>947</v>
      </c>
    </row>
    <row r="29" spans="1:1" ht="15.6">
      <c r="A29" s="1125" t="s">
        <v>948</v>
      </c>
    </row>
    <row r="30" spans="1:1" ht="15.6">
      <c r="A30" s="1125" t="s">
        <v>949</v>
      </c>
    </row>
    <row r="31" spans="1:1" ht="15.6">
      <c r="A31" s="1125" t="s">
        <v>950</v>
      </c>
    </row>
    <row r="32" spans="1:1" ht="15.6">
      <c r="A32" s="1125" t="s">
        <v>951</v>
      </c>
    </row>
    <row r="33" spans="1:1" ht="15.6">
      <c r="A33" s="1125" t="s">
        <v>952</v>
      </c>
    </row>
    <row r="34" spans="1:1" ht="15.6">
      <c r="A34" s="1125" t="s">
        <v>953</v>
      </c>
    </row>
    <row r="35" spans="1:1" ht="15.6">
      <c r="A35" s="1125" t="s">
        <v>954</v>
      </c>
    </row>
    <row r="36" spans="1:1" ht="15.6">
      <c r="A36" s="1125" t="s">
        <v>955</v>
      </c>
    </row>
    <row r="37" spans="1:1" ht="15.6">
      <c r="A37" s="1125" t="s">
        <v>956</v>
      </c>
    </row>
    <row r="38" spans="1:1" ht="15.6">
      <c r="A38" s="1125" t="s">
        <v>957</v>
      </c>
    </row>
    <row r="39" spans="1:1" ht="15.6">
      <c r="A39" s="1125" t="s">
        <v>958</v>
      </c>
    </row>
    <row r="40" spans="1:1" ht="15.6">
      <c r="A40" s="1125" t="s">
        <v>959</v>
      </c>
    </row>
    <row r="41" spans="1:1">
      <c r="A41" s="1127" t="s">
        <v>960</v>
      </c>
    </row>
    <row r="42" spans="1:1">
      <c r="A42" s="1127" t="s">
        <v>961</v>
      </c>
    </row>
    <row r="43" spans="1:1">
      <c r="A43" s="1127" t="s">
        <v>962</v>
      </c>
    </row>
    <row r="44" spans="1:1" ht="15.6">
      <c r="A44" s="1125" t="s">
        <v>963</v>
      </c>
    </row>
    <row r="45" spans="1:1" ht="15.6">
      <c r="A45" s="1125" t="s">
        <v>964</v>
      </c>
    </row>
    <row r="46" spans="1:1" ht="15.6">
      <c r="A46" s="1125" t="s">
        <v>965</v>
      </c>
    </row>
    <row r="47" spans="1:1" ht="15.6">
      <c r="A47" s="1125" t="s">
        <v>966</v>
      </c>
    </row>
    <row r="48" spans="1:1" ht="15.6">
      <c r="A48" s="1125" t="s">
        <v>967</v>
      </c>
    </row>
    <row r="49" spans="1:1" ht="15.6">
      <c r="A49" s="1125" t="s">
        <v>968</v>
      </c>
    </row>
    <row r="50" spans="1:1" ht="15.6">
      <c r="A50" s="1125" t="s">
        <v>969</v>
      </c>
    </row>
    <row r="51" spans="1:1" ht="15.6">
      <c r="A51" s="1125" t="s">
        <v>970</v>
      </c>
    </row>
    <row r="52" spans="1:1" ht="15.6">
      <c r="A52" s="1125" t="s">
        <v>971</v>
      </c>
    </row>
    <row r="53" spans="1:1" ht="15.6">
      <c r="A53" s="1125" t="s">
        <v>972</v>
      </c>
    </row>
    <row r="54" spans="1:1" ht="15.6">
      <c r="A54" s="1125" t="s">
        <v>973</v>
      </c>
    </row>
    <row r="55" spans="1:1" ht="15.6">
      <c r="A55" s="1125" t="s">
        <v>974</v>
      </c>
    </row>
    <row r="56" spans="1:1" ht="15.6">
      <c r="A56" s="1125" t="s">
        <v>975</v>
      </c>
    </row>
    <row r="57" spans="1:1" ht="15.6">
      <c r="A57" s="1125" t="s">
        <v>976</v>
      </c>
    </row>
    <row r="58" spans="1:1" ht="15.6">
      <c r="A58" s="1126" t="s">
        <v>977</v>
      </c>
    </row>
    <row r="59" spans="1:1" ht="15.6">
      <c r="A59" s="1128"/>
    </row>
    <row r="60" spans="1:1" ht="15.6">
      <c r="A60" s="1128" t="s">
        <v>978</v>
      </c>
    </row>
    <row r="61" spans="1:1" ht="15.6">
      <c r="A61" s="1128"/>
    </row>
    <row r="62" spans="1:1" ht="15.6">
      <c r="A62" s="1128" t="s">
        <v>979</v>
      </c>
    </row>
    <row r="63" spans="1:1" ht="15.6">
      <c r="A63" s="1128"/>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6"/>
  <sheetViews>
    <sheetView showGridLines="0" zoomScale="70" zoomScaleNormal="70" workbookViewId="0">
      <selection activeCell="A37" sqref="A37:XFD1048576"/>
    </sheetView>
  </sheetViews>
  <sheetFormatPr baseColWidth="10" defaultColWidth="11.44140625" defaultRowHeight="14.4"/>
  <cols>
    <col min="1" max="1" width="3" customWidth="1"/>
    <col min="2" max="2" width="23.5546875" customWidth="1"/>
    <col min="3" max="3" width="14" hidden="1" customWidth="1"/>
    <col min="4" max="4" width="21.88671875" customWidth="1"/>
    <col min="5" max="5" width="23.5546875" customWidth="1"/>
    <col min="6" max="7" width="20.6640625" customWidth="1"/>
    <col min="8" max="9" width="20.6640625" hidden="1" customWidth="1"/>
    <col min="10" max="10" width="18.33203125" bestFit="1" customWidth="1"/>
    <col min="11" max="12" width="23.5546875" customWidth="1"/>
    <col min="226" max="226" width="0" hidden="1" customWidth="1"/>
  </cols>
  <sheetData>
    <row r="1" spans="1:12">
      <c r="A1" s="155"/>
      <c r="B1" s="2515"/>
      <c r="C1" s="2513"/>
      <c r="D1" s="2513"/>
      <c r="E1" s="2513"/>
      <c r="F1" s="2513"/>
      <c r="G1" s="2513"/>
      <c r="H1" s="251"/>
      <c r="I1" s="251"/>
      <c r="J1" s="2509"/>
      <c r="K1" s="2509"/>
      <c r="L1" s="2510"/>
    </row>
    <row r="2" spans="1:12">
      <c r="A2" s="155"/>
      <c r="B2" s="2516"/>
      <c r="C2" s="2514"/>
      <c r="D2" s="2514"/>
      <c r="E2" s="2514"/>
      <c r="F2" s="2514"/>
      <c r="G2" s="2514"/>
      <c r="H2" s="1075"/>
      <c r="I2" s="1075"/>
      <c r="J2" s="2511"/>
      <c r="K2" s="2511"/>
      <c r="L2" s="2512"/>
    </row>
    <row r="3" spans="1:12">
      <c r="A3" s="155"/>
      <c r="B3" s="2516"/>
      <c r="C3" s="2514"/>
      <c r="D3" s="2514"/>
      <c r="E3" s="2514"/>
      <c r="F3" s="2514"/>
      <c r="G3" s="2514"/>
      <c r="H3" s="1075"/>
      <c r="I3" s="1075"/>
      <c r="J3" s="2511"/>
      <c r="K3" s="2511"/>
      <c r="L3" s="2512"/>
    </row>
    <row r="4" spans="1:12">
      <c r="A4" s="155"/>
      <c r="B4" s="2516"/>
      <c r="C4" s="2514"/>
      <c r="D4" s="2514"/>
      <c r="E4" s="2514"/>
      <c r="F4" s="2514"/>
      <c r="G4" s="2514"/>
      <c r="H4" s="1075"/>
      <c r="I4" s="1075"/>
      <c r="J4" s="2511"/>
      <c r="K4" s="2511"/>
      <c r="L4" s="2512"/>
    </row>
    <row r="5" spans="1:12">
      <c r="A5" s="155"/>
      <c r="B5" s="2516"/>
      <c r="C5" s="2514"/>
      <c r="D5" s="2514"/>
      <c r="E5" s="2514"/>
      <c r="F5" s="2514"/>
      <c r="G5" s="2514"/>
      <c r="H5" s="1075"/>
      <c r="I5" s="1075"/>
      <c r="J5" s="2511"/>
      <c r="K5" s="2511"/>
      <c r="L5" s="2512"/>
    </row>
    <row r="6" spans="1:12">
      <c r="A6" s="155"/>
      <c r="B6" s="2516"/>
      <c r="C6" s="2514"/>
      <c r="D6" s="2514"/>
      <c r="E6" s="2514"/>
      <c r="F6" s="2514"/>
      <c r="G6" s="2514"/>
      <c r="H6" s="1075"/>
      <c r="I6" s="1075"/>
      <c r="J6" s="2511"/>
      <c r="K6" s="2511"/>
      <c r="L6" s="2512"/>
    </row>
    <row r="7" spans="1:12">
      <c r="A7" s="155"/>
      <c r="B7" s="2516"/>
      <c r="C7" s="2514"/>
      <c r="D7" s="2514"/>
      <c r="E7" s="2514"/>
      <c r="F7" s="2517"/>
      <c r="G7" s="2514"/>
      <c r="H7" s="1075"/>
      <c r="I7" s="1075"/>
      <c r="J7" s="2511"/>
      <c r="K7" s="2511"/>
      <c r="L7" s="2512"/>
    </row>
    <row r="8" spans="1:12">
      <c r="A8" s="155"/>
      <c r="B8" s="2516"/>
      <c r="C8" s="2514"/>
      <c r="D8" s="2514"/>
      <c r="E8" s="2514"/>
      <c r="F8" s="2514"/>
      <c r="G8" s="2514"/>
      <c r="H8" s="1075"/>
      <c r="I8" s="1075"/>
      <c r="J8" s="2511"/>
      <c r="K8" s="2511"/>
      <c r="L8" s="2512"/>
    </row>
    <row r="9" spans="1:12" ht="15" thickBot="1">
      <c r="A9" s="155"/>
      <c r="B9" s="2518"/>
      <c r="C9" s="2519"/>
      <c r="D9" s="2519"/>
      <c r="E9" s="2519"/>
      <c r="F9" s="2519"/>
      <c r="G9" s="2519"/>
      <c r="H9" s="1853"/>
      <c r="I9" s="1853"/>
      <c r="J9" s="2520"/>
      <c r="K9" s="2520"/>
      <c r="L9" s="2521"/>
    </row>
    <row r="10" spans="1:12" ht="46.2" customHeight="1" thickBot="1">
      <c r="A10" s="155"/>
      <c r="B10" s="5458" t="str">
        <f>'Llegadas '!A1</f>
        <v>Llegadas internacionales de turistas no residentes (#)</v>
      </c>
      <c r="C10" s="5455" t="s">
        <v>897</v>
      </c>
      <c r="D10" s="5456"/>
      <c r="E10" s="5456"/>
      <c r="F10" s="5456"/>
      <c r="G10" s="5456"/>
      <c r="H10" s="5456"/>
      <c r="I10" s="5457"/>
      <c r="J10" s="5460" t="str">
        <f>'Sugeridos-estancia-gasto'!A2</f>
        <v>Estadía promedio en ciudad del turismo de recreación en estancia corta y media (1 a 15 días)</v>
      </c>
      <c r="K10" s="5461"/>
      <c r="L10" s="5462"/>
    </row>
    <row r="11" spans="1:12" ht="60.75" customHeight="1" thickBot="1">
      <c r="A11" s="596"/>
      <c r="B11" s="5459"/>
      <c r="C11" s="5455" t="str">
        <f>'TOH (hist) '!A1</f>
        <v>Tasa de ocupación hotelera (TOH) - (%)</v>
      </c>
      <c r="D11" s="5457"/>
      <c r="E11" s="2418" t="str">
        <f>'Estancia hotelera'!B2</f>
        <v>Estancia media hotelera DMQ (noches)</v>
      </c>
      <c r="F11" s="2421" t="s">
        <v>895</v>
      </c>
      <c r="G11" s="2421" t="s">
        <v>896</v>
      </c>
      <c r="H11" s="2419" t="s">
        <v>1118</v>
      </c>
      <c r="I11" s="2420" t="s">
        <v>1119</v>
      </c>
      <c r="J11" s="2430" t="str">
        <f>'Sugeridos-estancia-gasto'!A5</f>
        <v>Estancia ciudad (días)</v>
      </c>
      <c r="K11" s="2437" t="str">
        <f>'Sugeridos-estancia-gasto'!A7</f>
        <v>Gasto medio diario (USD)</v>
      </c>
      <c r="L11" s="2444" t="str">
        <f>'Sugeridos-estancia-gasto'!A6</f>
        <v>Gasto medio turista (USD)</v>
      </c>
    </row>
    <row r="12" spans="1:12" ht="18" hidden="1">
      <c r="A12" s="596"/>
      <c r="B12" s="2397">
        <f>'Llegadas '!J3</f>
        <v>2015</v>
      </c>
      <c r="C12" s="5463">
        <f>'TOH (hist) '!K3</f>
        <v>2015</v>
      </c>
      <c r="D12" s="5464"/>
      <c r="E12" s="2412">
        <f>'Estancia hotelera'!M4</f>
        <v>2015</v>
      </c>
      <c r="F12" s="2422"/>
      <c r="G12" s="2422"/>
      <c r="H12" s="1069"/>
      <c r="I12" s="1072"/>
      <c r="J12" s="2431" t="str">
        <f>'Sugeridos-estancia-gasto'!I4</f>
        <v xml:space="preserve"> agosto 2015</v>
      </c>
      <c r="K12" s="2438" t="str">
        <f>'Sugeridos-estancia-gasto'!I4</f>
        <v xml:space="preserve"> agosto 2015</v>
      </c>
      <c r="L12" s="2445" t="str">
        <f>'Sugeridos-estancia-gasto'!I4</f>
        <v xml:space="preserve"> agosto 2015</v>
      </c>
    </row>
    <row r="13" spans="1:12" ht="18" hidden="1">
      <c r="A13" s="596"/>
      <c r="B13" s="2398">
        <f>'Llegadas '!J16</f>
        <v>712877</v>
      </c>
      <c r="C13" s="5465">
        <f>'TOH (hist) '!K5</f>
        <v>52.646506184060037</v>
      </c>
      <c r="D13" s="5466"/>
      <c r="E13" s="2413">
        <f>'Estancia hotelera'!M19</f>
        <v>1.5855894194982867</v>
      </c>
      <c r="F13" s="2423"/>
      <c r="G13" s="2423"/>
      <c r="H13" s="1070"/>
      <c r="I13" s="1073"/>
      <c r="J13" s="2432">
        <f>'Sugeridos-estancia-gasto'!I5</f>
        <v>5.92</v>
      </c>
      <c r="K13" s="2439">
        <f>'Sugeridos-estancia-gasto'!I7</f>
        <v>75</v>
      </c>
      <c r="L13" s="2446">
        <f>'Sugeridos-estancia-gasto'!I6</f>
        <v>446</v>
      </c>
    </row>
    <row r="14" spans="1:12" ht="18" hidden="1">
      <c r="A14" s="596"/>
      <c r="B14" s="2399"/>
      <c r="C14" s="5465"/>
      <c r="D14" s="5466"/>
      <c r="E14" s="2414"/>
      <c r="F14" s="2424"/>
      <c r="G14" s="2424"/>
      <c r="H14" s="2385"/>
      <c r="I14" s="2386"/>
      <c r="J14" s="2433"/>
      <c r="K14" s="2440"/>
      <c r="L14" s="2447"/>
    </row>
    <row r="15" spans="1:12" ht="18" hidden="1">
      <c r="A15" s="596"/>
      <c r="B15" s="2400">
        <f>'Llegadas '!K3</f>
        <v>2016</v>
      </c>
      <c r="C15" s="5467">
        <f>'TOH (hist) '!L3</f>
        <v>2016</v>
      </c>
      <c r="D15" s="5468"/>
      <c r="E15" s="2415">
        <f>'Estancia hotelera'!N4</f>
        <v>2016</v>
      </c>
      <c r="F15" s="2425"/>
      <c r="G15" s="2425"/>
      <c r="H15" s="2387">
        <v>2016</v>
      </c>
      <c r="I15" s="2387">
        <v>2016</v>
      </c>
      <c r="J15" s="2434" t="str">
        <f>'Sugeridos-estancia-gasto'!J4</f>
        <v xml:space="preserve"> diciembre 2016</v>
      </c>
      <c r="K15" s="2441" t="str">
        <f>J15</f>
        <v xml:space="preserve"> diciembre 2016</v>
      </c>
      <c r="L15" s="2448" t="str">
        <f>'Sugeridos-estancia-gasto'!J4</f>
        <v xml:space="preserve"> diciembre 2016</v>
      </c>
    </row>
    <row r="16" spans="1:12" ht="18" hidden="1">
      <c r="A16" s="596"/>
      <c r="B16" s="2398">
        <f>'Llegadas '!K16</f>
        <v>627626</v>
      </c>
      <c r="C16" s="5465">
        <f>'TOH (hist) '!L5</f>
        <v>46.512730614023319</v>
      </c>
      <c r="D16" s="5466"/>
      <c r="E16" s="2413">
        <f>'Estancia hotelera'!N19</f>
        <v>1.5566332188277681</v>
      </c>
      <c r="F16" s="2423"/>
      <c r="G16" s="2423"/>
      <c r="H16" s="1071">
        <f>SUM('[4]Aloj-Hab-Plazas'!L27:M27)</f>
        <v>118</v>
      </c>
      <c r="I16" s="1074">
        <f>SUM('[4]Aloj-Hab-Plazas'!L28:M28)</f>
        <v>4585</v>
      </c>
      <c r="J16" s="2432">
        <f>'Sugeridos-estancia-gasto'!J5</f>
        <v>5.53</v>
      </c>
      <c r="K16" s="2439">
        <f>'Sugeridos-estancia-gasto'!J7</f>
        <v>114</v>
      </c>
      <c r="L16" s="2446">
        <f>'Sugeridos-estancia-gasto'!J6</f>
        <v>631</v>
      </c>
    </row>
    <row r="17" spans="1:12" ht="18" hidden="1">
      <c r="A17" s="596"/>
      <c r="B17" s="2399"/>
      <c r="C17" s="5465"/>
      <c r="D17" s="5466"/>
      <c r="E17" s="2414"/>
      <c r="F17" s="2424"/>
      <c r="G17" s="2424"/>
      <c r="H17" s="2385"/>
      <c r="I17" s="2386"/>
      <c r="J17" s="2433"/>
      <c r="K17" s="2440"/>
      <c r="L17" s="2447"/>
    </row>
    <row r="18" spans="1:12" ht="18" hidden="1">
      <c r="A18" s="596"/>
      <c r="B18" s="2400">
        <f>'Llegadas '!L3</f>
        <v>2017</v>
      </c>
      <c r="C18" s="5467" t="str">
        <f>'TOH (hist) '!M3</f>
        <v xml:space="preserve">2017 (e) </v>
      </c>
      <c r="D18" s="5468"/>
      <c r="E18" s="2415" t="str">
        <f>'Estancia hotelera'!O4</f>
        <v xml:space="preserve">2017 (e) </v>
      </c>
      <c r="F18" s="2425"/>
      <c r="G18" s="2425"/>
      <c r="H18" s="2387">
        <v>2017</v>
      </c>
      <c r="I18" s="2387">
        <v>2017</v>
      </c>
      <c r="J18" s="2434" t="str">
        <f>'Sugeridos-estancia-gasto'!K4</f>
        <v xml:space="preserve"> enero 2017 (e) </v>
      </c>
      <c r="K18" s="2441" t="str">
        <f>J18</f>
        <v xml:space="preserve"> enero 2017 (e) </v>
      </c>
      <c r="L18" s="2448" t="str">
        <f>'Sugeridos-estancia-gasto'!K4</f>
        <v xml:space="preserve"> enero 2017 (e) </v>
      </c>
    </row>
    <row r="19" spans="1:12" ht="18" hidden="1">
      <c r="A19" s="596"/>
      <c r="B19" s="2398">
        <f>'Llegadas '!L16</f>
        <v>652931</v>
      </c>
      <c r="C19" s="5465">
        <f>'TOH (hist) '!M5</f>
        <v>46.020581605453351</v>
      </c>
      <c r="D19" s="5466"/>
      <c r="E19" s="2413">
        <f>'Estancia hotelera'!O19</f>
        <v>1.5448134813886878</v>
      </c>
      <c r="F19" s="2423"/>
      <c r="G19" s="2423"/>
      <c r="H19" s="1071">
        <f>SUM('[4]Aloj-Hab-Plazas'!N27:O27)</f>
        <v>60</v>
      </c>
      <c r="I19" s="1074">
        <f>SUM('[4]Aloj-Hab-Plazas'!N28:O28)</f>
        <v>3605</v>
      </c>
      <c r="J19" s="2432">
        <f>'Sugeridos-estancia-gasto'!K5</f>
        <v>4.8682914931280266</v>
      </c>
      <c r="K19" s="2439">
        <f>'Sugeridos-estancia-gasto'!K7</f>
        <v>112.99411496055541</v>
      </c>
      <c r="L19" s="2446">
        <f>'Sugeridos-estancia-gasto'!K6</f>
        <v>550.08828863600218</v>
      </c>
    </row>
    <row r="20" spans="1:12" ht="18" hidden="1">
      <c r="A20" s="596"/>
      <c r="B20" s="2401"/>
      <c r="C20" s="2404"/>
      <c r="D20" s="2405"/>
      <c r="E20" s="2416"/>
      <c r="F20" s="2426"/>
      <c r="G20" s="2426"/>
      <c r="H20" s="2388"/>
      <c r="I20" s="2389"/>
      <c r="J20" s="2435"/>
      <c r="K20" s="2442"/>
      <c r="L20" s="2449"/>
    </row>
    <row r="21" spans="1:12" ht="18" hidden="1">
      <c r="A21" s="596"/>
      <c r="B21" s="2402"/>
      <c r="C21" s="2406" t="s">
        <v>1051</v>
      </c>
      <c r="D21" s="2407" t="s">
        <v>1050</v>
      </c>
      <c r="E21" s="2417"/>
      <c r="F21" s="2427"/>
      <c r="G21" s="2427"/>
      <c r="H21" s="2390"/>
      <c r="I21" s="2391"/>
      <c r="J21" s="2436"/>
      <c r="K21" s="2443"/>
      <c r="L21" s="2450"/>
    </row>
    <row r="22" spans="1:12" ht="18">
      <c r="A22" s="596"/>
      <c r="B22" s="2397">
        <v>2018</v>
      </c>
      <c r="C22" s="2408" t="str">
        <f>'TOH (hist) '!N3</f>
        <v xml:space="preserve">2018 (e) </v>
      </c>
      <c r="D22" s="2408" t="s">
        <v>813</v>
      </c>
      <c r="E22" s="2412" t="str">
        <f>'Estancia hotelera'!P4</f>
        <v xml:space="preserve">2018 (e) </v>
      </c>
      <c r="F22" s="2422">
        <v>2018</v>
      </c>
      <c r="G22" s="2422">
        <v>2018</v>
      </c>
      <c r="H22" s="1069">
        <v>2018</v>
      </c>
      <c r="I22" s="1072">
        <v>2018</v>
      </c>
      <c r="J22" s="2431" t="str">
        <f>'Sugeridos-estancia-gasto'!L4</f>
        <v xml:space="preserve">2018 (e) </v>
      </c>
      <c r="K22" s="2438" t="str">
        <f>J22</f>
        <v xml:space="preserve">2018 (e) </v>
      </c>
      <c r="L22" s="2445" t="str">
        <f>K22</f>
        <v xml:space="preserve">2018 (e) </v>
      </c>
    </row>
    <row r="23" spans="1:12" ht="18">
      <c r="A23" s="596"/>
      <c r="B23" s="2398">
        <f>'Llegadas '!M16</f>
        <v>692492</v>
      </c>
      <c r="C23" s="2403">
        <f>'TOH (hist) '!N5</f>
        <v>46.433055555555562</v>
      </c>
      <c r="D23" s="2403">
        <f>'TOH (hist) '!O5</f>
        <v>50.197122475217498</v>
      </c>
      <c r="E23" s="2413">
        <f>'Estancia hotelera'!P19</f>
        <v>1.5756734082798449</v>
      </c>
      <c r="F23" s="2428">
        <f>'[4]Aloj-Hab-Plazas'!E14</f>
        <v>13776</v>
      </c>
      <c r="G23" s="2428">
        <f>'[4]Aloj-Hab-Plazas'!F14</f>
        <v>28458</v>
      </c>
      <c r="H23" s="1071">
        <f>SUM('[4]Aloj-Hab-Plazas'!P27:Q27)</f>
        <v>65</v>
      </c>
      <c r="I23" s="1074">
        <f>SUM('[4]Aloj-Hab-Plazas'!P28:Q28)</f>
        <v>3732</v>
      </c>
      <c r="J23" s="2432">
        <f>'Sugeridos-estancia-gasto'!L5</f>
        <v>5.84</v>
      </c>
      <c r="K23" s="2439">
        <f>'Sugeridos-estancia-gasto'!L7</f>
        <v>118.15068493150686</v>
      </c>
      <c r="L23" s="2446">
        <f>'Sugeridos-estancia-gasto'!L6</f>
        <v>690</v>
      </c>
    </row>
    <row r="24" spans="1:12" ht="18">
      <c r="A24" s="596"/>
      <c r="B24" s="2401"/>
      <c r="C24" s="2404"/>
      <c r="D24" s="2404"/>
      <c r="E24" s="2416"/>
      <c r="F24" s="2429"/>
      <c r="G24" s="2429"/>
      <c r="H24" s="2392"/>
      <c r="I24" s="2393"/>
      <c r="J24" s="2435"/>
      <c r="K24" s="2442"/>
      <c r="L24" s="2449"/>
    </row>
    <row r="25" spans="1:12" ht="18">
      <c r="A25" s="596"/>
      <c r="B25" s="2400" t="s">
        <v>834</v>
      </c>
      <c r="C25" s="2409"/>
      <c r="D25" s="2409" t="s">
        <v>868</v>
      </c>
      <c r="E25" s="2415" t="s">
        <v>868</v>
      </c>
      <c r="F25" s="2425">
        <v>2019</v>
      </c>
      <c r="G25" s="2425">
        <v>2019</v>
      </c>
      <c r="H25" s="2387" t="s">
        <v>868</v>
      </c>
      <c r="I25" s="2394" t="s">
        <v>868</v>
      </c>
      <c r="J25" s="2436" t="s">
        <v>868</v>
      </c>
      <c r="K25" s="2443" t="s">
        <v>868</v>
      </c>
      <c r="L25" s="2450" t="s">
        <v>868</v>
      </c>
    </row>
    <row r="26" spans="1:12" ht="18">
      <c r="A26" s="596"/>
      <c r="B26" s="2398">
        <f>'Llegadas '!N16</f>
        <v>684390</v>
      </c>
      <c r="C26" s="2403"/>
      <c r="D26" s="2403">
        <f>'TOH (hist) '!P5</f>
        <v>35.67</v>
      </c>
      <c r="E26" s="2413">
        <f>'Estancia hotelera'!Q19</f>
        <v>1.48</v>
      </c>
      <c r="F26" s="2428">
        <f>'[4]Aloj-Hab-Plazas'!E15</f>
        <v>14569</v>
      </c>
      <c r="G26" s="2428">
        <f>'[4]Aloj-Hab-Plazas'!F15</f>
        <v>30757</v>
      </c>
      <c r="H26" s="1071">
        <f>H23</f>
        <v>65</v>
      </c>
      <c r="I26" s="1074">
        <f>I23</f>
        <v>3732</v>
      </c>
      <c r="J26" s="2432">
        <f>'Sugeridos-estancia-gasto'!M5</f>
        <v>5.9216582986256059</v>
      </c>
      <c r="K26" s="2439">
        <f>'Sugeridos-estancia-gasto'!M7</f>
        <v>101.82895997841246</v>
      </c>
      <c r="L26" s="2446">
        <f>'Sugeridos-estancia-gasto'!M6</f>
        <v>759</v>
      </c>
    </row>
    <row r="27" spans="1:12" ht="18">
      <c r="A27" s="596"/>
      <c r="B27" s="2401"/>
      <c r="C27" s="2404"/>
      <c r="D27" s="2404"/>
      <c r="E27" s="2416"/>
      <c r="F27" s="2429"/>
      <c r="G27" s="2429"/>
      <c r="H27" s="2392"/>
      <c r="I27" s="2393"/>
      <c r="J27" s="2435"/>
      <c r="K27" s="2442"/>
      <c r="L27" s="2449"/>
    </row>
    <row r="28" spans="1:12" ht="54">
      <c r="A28" s="596"/>
      <c r="B28" s="2400">
        <v>2020</v>
      </c>
      <c r="C28" s="2410" t="s">
        <v>1471</v>
      </c>
      <c r="D28" s="2409">
        <v>2020</v>
      </c>
      <c r="E28" s="2508">
        <v>2020</v>
      </c>
      <c r="F28" s="2425">
        <v>2020</v>
      </c>
      <c r="G28" s="2425">
        <v>2020</v>
      </c>
      <c r="H28" s="2395"/>
      <c r="I28" s="2396"/>
      <c r="J28" s="2467" t="s">
        <v>1395</v>
      </c>
      <c r="K28" s="2468" t="s">
        <v>1395</v>
      </c>
      <c r="L28" s="2469" t="s">
        <v>1395</v>
      </c>
    </row>
    <row r="29" spans="1:12" ht="18">
      <c r="A29" s="596"/>
      <c r="B29" s="2398">
        <f>'Llegadas '!O16</f>
        <v>190417</v>
      </c>
      <c r="C29" s="2411">
        <f>(57%+59.29%+21.49%+28.57%+5.56%)/12</f>
        <v>0.14325833333333335</v>
      </c>
      <c r="D29" s="3738">
        <f>'DATOS-EC-UIO'!J73</f>
        <v>9.39</v>
      </c>
      <c r="E29" s="2507">
        <f>'DATOS-EC-UIO'!J87</f>
        <v>1.48</v>
      </c>
      <c r="F29" s="2451">
        <f>'DATOS-EC-UIO'!J110</f>
        <v>15671</v>
      </c>
      <c r="G29" s="2451">
        <f>'DATOS-EC-UIO'!J111</f>
        <v>28675</v>
      </c>
      <c r="H29" s="2452"/>
      <c r="I29" s="2453"/>
      <c r="J29" s="2454">
        <f>'DATOS-EC-UIO'!J64</f>
        <v>5</v>
      </c>
      <c r="K29" s="2455">
        <f>'DATOS-EC-UIO'!J66</f>
        <v>100</v>
      </c>
      <c r="L29" s="2456">
        <f>'DATOS-EC-UIO'!J65</f>
        <v>569.36999999999989</v>
      </c>
    </row>
    <row r="30" spans="1:12" ht="18.600000000000001" thickBot="1">
      <c r="A30" s="596"/>
      <c r="B30" s="2398"/>
      <c r="C30" s="2403"/>
      <c r="D30" s="2403"/>
      <c r="E30" s="2413"/>
      <c r="F30" s="2428"/>
      <c r="G30" s="2428"/>
      <c r="H30" s="1071"/>
      <c r="I30" s="1074"/>
      <c r="J30" s="2432"/>
      <c r="K30" s="2439"/>
      <c r="L30" s="2446"/>
    </row>
    <row r="31" spans="1:12" ht="36">
      <c r="A31" s="596"/>
      <c r="B31" s="2838" t="s">
        <v>1419</v>
      </c>
      <c r="C31" s="2839" t="s">
        <v>1470</v>
      </c>
      <c r="D31" s="2840" t="s">
        <v>1464</v>
      </c>
      <c r="E31" s="2839" t="s">
        <v>1464</v>
      </c>
      <c r="F31" s="2837">
        <v>2021</v>
      </c>
      <c r="G31" s="2837">
        <v>2021</v>
      </c>
      <c r="H31" s="2841"/>
      <c r="I31" s="2842"/>
      <c r="J31" s="2837" t="s">
        <v>1419</v>
      </c>
      <c r="K31" s="2837" t="s">
        <v>1419</v>
      </c>
      <c r="L31" s="2843" t="s">
        <v>1419</v>
      </c>
    </row>
    <row r="32" spans="1:12" ht="18">
      <c r="A32" s="596"/>
      <c r="B32" s="2832">
        <f>'Llegadas '!$P$16</f>
        <v>280996</v>
      </c>
      <c r="C32" s="2833">
        <v>9.6799999999999997E-2</v>
      </c>
      <c r="D32" s="3807">
        <f>'DATOS-EC-UIO'!K73/100</f>
        <v>0.2021</v>
      </c>
      <c r="E32" s="2834">
        <f>'DATOS-EC-UIO'!K87</f>
        <v>1.1399999999999999</v>
      </c>
      <c r="F32" s="2832">
        <f>'DATOS-EC-UIO'!K110</f>
        <v>15671</v>
      </c>
      <c r="G32" s="2832">
        <f>'DATOS-EC-UIO'!K111</f>
        <v>28675</v>
      </c>
      <c r="H32" s="2832"/>
      <c r="I32" s="2835"/>
      <c r="J32" s="2831">
        <f>'DATOS-EC-UIO'!K64</f>
        <v>5</v>
      </c>
      <c r="K32" s="2831">
        <f>'DATOS-EC-UIO'!K66</f>
        <v>100</v>
      </c>
      <c r="L32" s="2836">
        <f>'DATOS-EC-UIO'!K65</f>
        <v>569.36999999999989</v>
      </c>
    </row>
    <row r="33" spans="1:12" ht="18.600000000000001" thickBot="1">
      <c r="A33" s="596"/>
      <c r="B33" s="2457"/>
      <c r="C33" s="2458"/>
      <c r="D33" s="2459"/>
      <c r="E33" s="2460"/>
      <c r="F33" s="2461"/>
      <c r="G33" s="2461"/>
      <c r="H33" s="2462"/>
      <c r="I33" s="2463"/>
      <c r="J33" s="2464"/>
      <c r="K33" s="2465"/>
      <c r="L33" s="2466"/>
    </row>
    <row r="34" spans="1:12">
      <c r="A34" s="155"/>
      <c r="B34" s="384"/>
      <c r="C34" s="384"/>
      <c r="D34" s="384"/>
      <c r="E34" s="384"/>
      <c r="F34" s="384"/>
      <c r="G34" s="384"/>
      <c r="H34" s="384"/>
      <c r="I34" s="384"/>
      <c r="J34" s="384"/>
      <c r="K34" s="384"/>
      <c r="L34" s="384"/>
    </row>
    <row r="35" spans="1:12">
      <c r="A35" s="155"/>
      <c r="B35" s="382" t="s">
        <v>1084</v>
      </c>
      <c r="D35" s="155" t="s">
        <v>866</v>
      </c>
      <c r="E35" s="681"/>
      <c r="F35" s="681"/>
      <c r="G35" s="681"/>
      <c r="H35" s="681"/>
      <c r="I35" s="681"/>
      <c r="J35" s="155"/>
      <c r="K35" s="155"/>
      <c r="L35" s="155"/>
    </row>
    <row r="36" spans="1:12">
      <c r="A36" s="155"/>
      <c r="B36" s="155"/>
      <c r="C36" s="155"/>
      <c r="D36" s="681"/>
      <c r="E36" s="681"/>
      <c r="F36" s="681"/>
      <c r="G36" s="681"/>
      <c r="H36" s="681"/>
      <c r="I36" s="681"/>
      <c r="J36" s="155"/>
      <c r="K36" s="155"/>
      <c r="L36" s="155"/>
    </row>
  </sheetData>
  <mergeCells count="12">
    <mergeCell ref="C15:D15"/>
    <mergeCell ref="C16:D16"/>
    <mergeCell ref="C18:D18"/>
    <mergeCell ref="C19:D19"/>
    <mergeCell ref="C11:D11"/>
    <mergeCell ref="C14:D14"/>
    <mergeCell ref="C17:D17"/>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6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W28"/>
  <sheetViews>
    <sheetView showGridLines="0" zoomScale="85" zoomScaleNormal="85" workbookViewId="0">
      <selection activeCell="P8" sqref="P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6" width="12.5546875" style="21" customWidth="1"/>
    <col min="17" max="17" width="11.44140625" style="21" customWidth="1"/>
    <col min="18" max="23" width="11.44140625" style="21"/>
    <col min="229" max="229" width="0" hidden="1" customWidth="1"/>
  </cols>
  <sheetData>
    <row r="2" spans="1:23" ht="47.25" customHeight="1">
      <c r="A2" s="5471" t="s">
        <v>529</v>
      </c>
      <c r="B2" s="5471"/>
      <c r="C2" s="5471"/>
      <c r="D2" s="5471"/>
      <c r="E2" s="5471"/>
      <c r="F2" s="5471"/>
      <c r="G2" s="5471"/>
      <c r="H2" s="5471"/>
      <c r="I2" s="5471"/>
      <c r="J2" s="5471"/>
      <c r="K2" s="5471"/>
      <c r="L2" s="5471"/>
      <c r="M2" s="5471"/>
      <c r="N2" s="5471"/>
      <c r="O2" s="5471"/>
      <c r="P2" s="4744"/>
      <c r="Q2" s="3676"/>
      <c r="R2" s="3676"/>
      <c r="S2" s="3676"/>
      <c r="T2" s="3676"/>
      <c r="U2" s="3676"/>
      <c r="V2" s="3676"/>
      <c r="W2" s="3676"/>
    </row>
    <row r="3" spans="1:23" ht="15" thickBot="1">
      <c r="A3" s="5470" t="s">
        <v>529</v>
      </c>
      <c r="B3" s="5470"/>
      <c r="C3" s="5470"/>
      <c r="D3" s="5470"/>
      <c r="E3" s="5470"/>
      <c r="F3" s="5470"/>
      <c r="G3" s="5470"/>
      <c r="H3" s="5470"/>
      <c r="I3" s="5470"/>
      <c r="J3" s="5470"/>
      <c r="K3" s="5470"/>
      <c r="L3" s="1054"/>
      <c r="M3" s="1054"/>
      <c r="N3" s="1054"/>
      <c r="O3" s="1054"/>
      <c r="P3" s="1054"/>
    </row>
    <row r="4" spans="1:23" ht="29.4" thickBot="1">
      <c r="A4" s="239" t="s">
        <v>483</v>
      </c>
      <c r="B4" s="240" t="s">
        <v>492</v>
      </c>
      <c r="C4" s="240" t="s">
        <v>493</v>
      </c>
      <c r="D4" s="240" t="s">
        <v>494</v>
      </c>
      <c r="E4" s="240" t="s">
        <v>495</v>
      </c>
      <c r="F4" s="240" t="s">
        <v>496</v>
      </c>
      <c r="G4" s="240" t="s">
        <v>497</v>
      </c>
      <c r="H4" s="240" t="s">
        <v>498</v>
      </c>
      <c r="I4" s="240" t="s">
        <v>499</v>
      </c>
      <c r="J4" s="240" t="s">
        <v>733</v>
      </c>
      <c r="K4" s="240" t="s">
        <v>734</v>
      </c>
      <c r="L4" s="240" t="s">
        <v>813</v>
      </c>
      <c r="M4" s="240" t="s">
        <v>868</v>
      </c>
      <c r="N4" s="240" t="s">
        <v>1395</v>
      </c>
      <c r="O4" s="2278" t="s">
        <v>1419</v>
      </c>
      <c r="P4" s="2278" t="s">
        <v>1588</v>
      </c>
      <c r="Q4" s="2158"/>
      <c r="R4" s="2158"/>
      <c r="S4" s="2158"/>
      <c r="T4" s="2158"/>
      <c r="U4" s="2158"/>
      <c r="V4" s="2158"/>
      <c r="W4" s="2158"/>
    </row>
    <row r="5" spans="1:23" ht="15.6">
      <c r="A5" s="234" t="s">
        <v>594</v>
      </c>
      <c r="B5" s="235">
        <v>4.45</v>
      </c>
      <c r="C5" s="235">
        <v>5.7</v>
      </c>
      <c r="D5" s="235"/>
      <c r="E5" s="235"/>
      <c r="F5" s="235">
        <v>5.87</v>
      </c>
      <c r="G5" s="235">
        <v>5.38</v>
      </c>
      <c r="H5" s="235">
        <v>7.45</v>
      </c>
      <c r="I5" s="235">
        <v>5.92</v>
      </c>
      <c r="J5" s="235">
        <v>5.53</v>
      </c>
      <c r="K5" s="235">
        <v>4.8682914931280266</v>
      </c>
      <c r="L5" s="235">
        <v>5.84</v>
      </c>
      <c r="M5" s="235">
        <f>AVERAGE(H5:L5)</f>
        <v>5.9216582986256059</v>
      </c>
      <c r="N5" s="235">
        <v>5</v>
      </c>
      <c r="O5" s="2279">
        <v>5</v>
      </c>
      <c r="P5" s="2279">
        <v>5</v>
      </c>
    </row>
    <row r="6" spans="1:23" ht="15.6">
      <c r="A6" s="236" t="s">
        <v>595</v>
      </c>
      <c r="B6" s="233">
        <f>B5*B7</f>
        <v>474.81500000000005</v>
      </c>
      <c r="C6" s="233">
        <f>C5*C7</f>
        <v>551.19000000000005</v>
      </c>
      <c r="D6" s="233"/>
      <c r="E6" s="233"/>
      <c r="F6" s="233">
        <v>537</v>
      </c>
      <c r="G6" s="233">
        <v>572</v>
      </c>
      <c r="H6" s="233">
        <v>666</v>
      </c>
      <c r="I6" s="233">
        <v>446</v>
      </c>
      <c r="J6" s="233">
        <v>631</v>
      </c>
      <c r="K6" s="233">
        <v>550.08828863600218</v>
      </c>
      <c r="L6" s="233">
        <v>690</v>
      </c>
      <c r="M6" s="233">
        <v>759</v>
      </c>
      <c r="N6" s="233">
        <f>1119.37-550</f>
        <v>569.36999999999989</v>
      </c>
      <c r="O6" s="2279">
        <f>1119.37-550</f>
        <v>569.36999999999989</v>
      </c>
      <c r="P6" s="2279">
        <f>1119.37-550</f>
        <v>569.36999999999989</v>
      </c>
    </row>
    <row r="7" spans="1:23" ht="16.2" thickBot="1">
      <c r="A7" s="237" t="s">
        <v>596</v>
      </c>
      <c r="B7" s="238">
        <v>106.7</v>
      </c>
      <c r="C7" s="238">
        <v>96.7</v>
      </c>
      <c r="D7" s="238"/>
      <c r="E7" s="238"/>
      <c r="F7" s="238">
        <v>91</v>
      </c>
      <c r="G7" s="238">
        <v>106</v>
      </c>
      <c r="H7" s="238">
        <v>89</v>
      </c>
      <c r="I7" s="238">
        <v>75</v>
      </c>
      <c r="J7" s="238">
        <v>114</v>
      </c>
      <c r="K7" s="238">
        <v>112.99411496055541</v>
      </c>
      <c r="L7" s="238">
        <f>L6/L5</f>
        <v>118.15068493150686</v>
      </c>
      <c r="M7" s="238">
        <f>AVERAGE(H7:L7)</f>
        <v>101.82895997841246</v>
      </c>
      <c r="N7" s="238">
        <v>100</v>
      </c>
      <c r="O7" s="2279">
        <v>100</v>
      </c>
      <c r="P7" s="2279">
        <v>100</v>
      </c>
    </row>
    <row r="8" spans="1:23" ht="15.6">
      <c r="A8" s="248"/>
      <c r="B8" s="249"/>
      <c r="C8" s="249"/>
      <c r="D8" s="249"/>
      <c r="E8" s="249"/>
      <c r="F8" s="575"/>
      <c r="G8" s="575">
        <f t="shared" ref="G8:M10" si="0">G5/F5-1</f>
        <v>-8.3475298126064801E-2</v>
      </c>
      <c r="H8" s="575">
        <f t="shared" si="0"/>
        <v>0.38475836431226762</v>
      </c>
      <c r="I8" s="575">
        <f t="shared" si="0"/>
        <v>-0.2053691275167786</v>
      </c>
      <c r="J8" s="575">
        <f t="shared" si="0"/>
        <v>-6.5878378378378288E-2</v>
      </c>
      <c r="K8" s="575">
        <f t="shared" si="0"/>
        <v>-0.11965795784303324</v>
      </c>
      <c r="L8" s="575">
        <f t="shared" si="0"/>
        <v>0.19959949157596979</v>
      </c>
      <c r="M8" s="575">
        <f t="shared" si="0"/>
        <v>1.3982585381096868E-2</v>
      </c>
      <c r="N8" s="575">
        <f>N5/M5-1</f>
        <v>-0.15564192530992871</v>
      </c>
      <c r="O8" s="1608">
        <f t="shared" ref="O8:P10" si="1">O5/N5-1</f>
        <v>0</v>
      </c>
      <c r="P8" s="1608">
        <f t="shared" si="1"/>
        <v>0</v>
      </c>
    </row>
    <row r="9" spans="1:23" ht="15.6">
      <c r="A9" s="248"/>
      <c r="B9" s="249"/>
      <c r="C9" s="249"/>
      <c r="D9" s="249"/>
      <c r="E9" s="249"/>
      <c r="F9" s="575"/>
      <c r="G9" s="575">
        <f t="shared" si="0"/>
        <v>6.5176908752327734E-2</v>
      </c>
      <c r="H9" s="575">
        <f t="shared" si="0"/>
        <v>0.16433566433566438</v>
      </c>
      <c r="I9" s="575">
        <f t="shared" si="0"/>
        <v>-0.33033033033033032</v>
      </c>
      <c r="J9" s="575">
        <f t="shared" si="0"/>
        <v>0.41479820627802688</v>
      </c>
      <c r="K9" s="575">
        <f t="shared" si="0"/>
        <v>-0.12822775176544821</v>
      </c>
      <c r="L9" s="575">
        <f t="shared" si="0"/>
        <v>0.25434410121859274</v>
      </c>
      <c r="M9" s="575">
        <f t="shared" si="0"/>
        <v>0.10000000000000009</v>
      </c>
      <c r="N9" s="575">
        <f>N6/M6-1</f>
        <v>-0.24984189723320172</v>
      </c>
      <c r="O9" s="1608">
        <f t="shared" si="1"/>
        <v>0</v>
      </c>
      <c r="P9" s="1608">
        <f t="shared" si="1"/>
        <v>0</v>
      </c>
    </row>
    <row r="10" spans="1:23">
      <c r="F10" s="575"/>
      <c r="G10" s="575">
        <f t="shared" si="0"/>
        <v>0.16483516483516492</v>
      </c>
      <c r="H10" s="575">
        <f t="shared" si="0"/>
        <v>-0.160377358490566</v>
      </c>
      <c r="I10" s="575">
        <f t="shared" si="0"/>
        <v>-0.15730337078651691</v>
      </c>
      <c r="J10" s="575">
        <f t="shared" si="0"/>
        <v>0.52</v>
      </c>
      <c r="K10" s="575">
        <f t="shared" si="0"/>
        <v>-8.8235529775841925E-3</v>
      </c>
      <c r="L10" s="575">
        <f t="shared" si="0"/>
        <v>4.5635739283869103E-2</v>
      </c>
      <c r="M10" s="575">
        <f t="shared" si="0"/>
        <v>-0.13814329525517577</v>
      </c>
      <c r="N10" s="575">
        <f>N7/M7-1</f>
        <v>-1.796109848121985E-2</v>
      </c>
      <c r="O10" s="1608">
        <f t="shared" si="1"/>
        <v>0</v>
      </c>
      <c r="P10" s="1608">
        <f t="shared" si="1"/>
        <v>0</v>
      </c>
    </row>
    <row r="11" spans="1:23" ht="67.2">
      <c r="B11" s="232" t="s">
        <v>491</v>
      </c>
      <c r="C11" s="232" t="s">
        <v>489</v>
      </c>
      <c r="D11" s="232"/>
      <c r="E11" s="232"/>
      <c r="F11" s="232" t="s">
        <v>488</v>
      </c>
      <c r="G11" s="232" t="s">
        <v>485</v>
      </c>
      <c r="H11" s="232" t="s">
        <v>486</v>
      </c>
      <c r="I11" s="232" t="s">
        <v>487</v>
      </c>
      <c r="J11" s="232" t="s">
        <v>730</v>
      </c>
      <c r="K11" s="642"/>
      <c r="L11" s="2821" t="s">
        <v>1086</v>
      </c>
      <c r="M11" s="2821" t="s">
        <v>1086</v>
      </c>
      <c r="N11" s="2821" t="s">
        <v>1086</v>
      </c>
      <c r="O11" s="1778" t="s">
        <v>1418</v>
      </c>
      <c r="P11" s="1778" t="s">
        <v>1418</v>
      </c>
    </row>
    <row r="12" spans="1:23" ht="21.6">
      <c r="A12" s="21" t="s">
        <v>515</v>
      </c>
      <c r="B12" s="231"/>
      <c r="C12" s="230"/>
      <c r="D12" s="230"/>
      <c r="E12" s="230"/>
      <c r="F12" s="230"/>
      <c r="G12" s="230"/>
      <c r="H12" s="230"/>
      <c r="I12" s="230"/>
      <c r="J12" s="230" t="s">
        <v>731</v>
      </c>
      <c r="K12" s="643" t="s">
        <v>732</v>
      </c>
      <c r="L12" s="643"/>
      <c r="M12" s="643"/>
      <c r="N12" s="643"/>
      <c r="O12" s="643"/>
      <c r="P12" s="643"/>
    </row>
    <row r="13" spans="1:23">
      <c r="A13" s="5469" t="s">
        <v>1490</v>
      </c>
      <c r="B13" s="5469"/>
      <c r="C13" s="5469"/>
      <c r="D13" s="5469"/>
      <c r="E13" s="5469"/>
      <c r="F13" s="5469"/>
      <c r="G13" s="5469"/>
      <c r="H13" s="5469"/>
      <c r="I13" s="5469"/>
      <c r="J13" s="5469"/>
      <c r="K13" s="5469"/>
      <c r="L13" s="5469"/>
      <c r="M13" s="5469"/>
      <c r="N13" s="5469"/>
      <c r="O13" s="5469"/>
      <c r="P13" s="4743"/>
    </row>
    <row r="14" spans="1:23">
      <c r="A14" s="5469" t="s">
        <v>490</v>
      </c>
      <c r="B14" s="5469"/>
      <c r="C14" s="5469"/>
      <c r="D14" s="5469"/>
      <c r="E14" s="5469"/>
      <c r="F14" s="5469"/>
      <c r="G14" s="5469"/>
      <c r="H14" s="5469"/>
      <c r="I14" s="5469"/>
      <c r="J14" s="2384"/>
      <c r="K14" s="1858"/>
      <c r="L14" s="2384"/>
      <c r="M14" s="2384"/>
      <c r="N14" s="2384"/>
      <c r="O14" s="2384"/>
      <c r="P14" s="4743"/>
    </row>
    <row r="15" spans="1:23">
      <c r="A15" s="5469" t="s">
        <v>520</v>
      </c>
      <c r="B15" s="5469"/>
      <c r="C15" s="5469"/>
      <c r="D15" s="5469"/>
      <c r="E15" s="5469"/>
      <c r="F15" s="5469"/>
      <c r="G15" s="5469"/>
      <c r="H15" s="5469"/>
      <c r="I15" s="5469"/>
      <c r="J15" s="2384"/>
      <c r="K15" s="2384"/>
      <c r="L15" s="2384"/>
      <c r="M15" s="2384"/>
      <c r="N15" s="2384"/>
      <c r="O15" s="2384"/>
      <c r="P15" s="4743"/>
    </row>
    <row r="16" spans="1:23">
      <c r="J16" s="2384"/>
      <c r="K16" s="2384"/>
      <c r="L16" s="2384"/>
      <c r="M16" s="2384"/>
      <c r="N16" s="2384"/>
      <c r="O16" s="2384"/>
      <c r="P16" s="4743"/>
    </row>
    <row r="17" spans="8:16">
      <c r="J17" s="2384"/>
      <c r="K17" s="2384"/>
      <c r="L17" s="2384"/>
      <c r="M17" s="2384"/>
    </row>
    <row r="18" spans="8:16">
      <c r="H18" s="327"/>
      <c r="I18" s="327"/>
      <c r="J18" s="2384"/>
      <c r="K18" s="2384"/>
      <c r="L18" s="2384"/>
      <c r="M18" s="2384"/>
      <c r="N18" s="327"/>
      <c r="O18" s="327"/>
      <c r="P18" s="327"/>
    </row>
    <row r="19" spans="8:16">
      <c r="J19" s="2384"/>
      <c r="K19" s="2384"/>
      <c r="L19" s="2384"/>
      <c r="M19" s="2384"/>
    </row>
    <row r="20" spans="8:16">
      <c r="J20" s="2384"/>
      <c r="K20" s="2384"/>
      <c r="L20" s="2384"/>
      <c r="M20" s="2384"/>
    </row>
    <row r="21" spans="8:16">
      <c r="J21" s="2384"/>
      <c r="K21" s="2384"/>
      <c r="L21" s="2384"/>
      <c r="M21" s="2384"/>
    </row>
    <row r="22" spans="8:16">
      <c r="J22" s="2384"/>
      <c r="K22" s="2384"/>
      <c r="L22" s="2384"/>
      <c r="M22" s="2384"/>
    </row>
    <row r="23" spans="8:16">
      <c r="J23" s="2384"/>
      <c r="K23" s="2384"/>
      <c r="L23" s="2384"/>
      <c r="M23" s="2384"/>
    </row>
    <row r="24" spans="8:16">
      <c r="J24" s="2384"/>
      <c r="K24" s="2384"/>
      <c r="L24" s="2384"/>
      <c r="M24" s="2384"/>
    </row>
    <row r="25" spans="8:16">
      <c r="J25" s="2384"/>
      <c r="K25" s="2384"/>
      <c r="L25" s="2384"/>
      <c r="M25" s="2384"/>
    </row>
    <row r="26" spans="8:16">
      <c r="J26" s="2384"/>
      <c r="K26" s="2384"/>
      <c r="L26" s="2384"/>
      <c r="M26" s="2384"/>
    </row>
    <row r="27" spans="8:16">
      <c r="J27" s="2384"/>
      <c r="K27" s="2384"/>
      <c r="L27" s="2384"/>
      <c r="M27" s="2384"/>
    </row>
    <row r="28" spans="8:16">
      <c r="J28" s="2384"/>
      <c r="K28" s="2384"/>
      <c r="L28" s="2384"/>
      <c r="M28" s="2384"/>
    </row>
  </sheetData>
  <mergeCells count="5">
    <mergeCell ref="A14:I14"/>
    <mergeCell ref="A15:I15"/>
    <mergeCell ref="A3:K3"/>
    <mergeCell ref="A13:O13"/>
    <mergeCell ref="A2:O2"/>
  </mergeCells>
  <phoneticPr fontId="11" type="noConversion"/>
  <pageMargins left="0.70866141732283472" right="0.70866141732283472" top="0.74803149606299213" bottom="0.74803149606299213" header="0.31496062992125984" footer="0.31496062992125984"/>
  <pageSetup scale="50" orientation="landscape" verticalDpi="597"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B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525" customWidth="1"/>
    <col min="2" max="2" width="1.6640625" style="2525" customWidth="1"/>
    <col min="3" max="3" width="39" style="2525" customWidth="1"/>
    <col min="4" max="39" width="10.6640625" style="2525" customWidth="1"/>
    <col min="40" max="40" width="11.44140625" style="2525" customWidth="1"/>
    <col min="41" max="147" width="10.6640625" style="2525" customWidth="1"/>
    <col min="148" max="149" width="11.21875" style="2525" bestFit="1" customWidth="1"/>
    <col min="150" max="150" width="10.77734375" style="2525" bestFit="1" customWidth="1"/>
    <col min="151" max="152" width="11.21875" style="2525" bestFit="1" customWidth="1"/>
    <col min="153" max="153" width="10.77734375" style="2525" bestFit="1" customWidth="1"/>
    <col min="154" max="154" width="10.44140625" style="2525" bestFit="1" customWidth="1"/>
    <col min="155" max="155" width="11.21875" style="2525" bestFit="1" customWidth="1"/>
    <col min="156" max="157" width="10.77734375" style="2525" bestFit="1" customWidth="1"/>
    <col min="158" max="159" width="11.21875" style="2525" bestFit="1" customWidth="1"/>
    <col min="160" max="160" width="8.77734375" style="708" bestFit="1" customWidth="1"/>
    <col min="161" max="162" width="8.44140625" style="708" bestFit="1" customWidth="1"/>
    <col min="163" max="163" width="7.77734375" style="708" bestFit="1" customWidth="1"/>
    <col min="164" max="164" width="8.5546875" style="708" bestFit="1" customWidth="1"/>
    <col min="165" max="166" width="7.21875" style="708" bestFit="1" customWidth="1"/>
    <col min="167" max="170" width="8" style="708" bestFit="1" customWidth="1"/>
    <col min="171" max="171" width="8.77734375" style="708" bestFit="1" customWidth="1"/>
    <col min="172" max="182" width="10.6640625" style="708" customWidth="1"/>
    <col min="183" max="183" width="9.77734375" style="708" customWidth="1"/>
    <col min="184" max="184" width="3.33203125" style="708" customWidth="1"/>
    <col min="185" max="185" width="11.44140625" style="708" hidden="1" customWidth="1"/>
    <col min="186" max="186" width="11" style="708" hidden="1" customWidth="1"/>
    <col min="187" max="227" width="12.44140625" style="708" hidden="1" customWidth="1"/>
    <col min="228" max="229" width="8" style="708" hidden="1" customWidth="1"/>
    <col min="230" max="230" width="9" style="708" hidden="1" customWidth="1"/>
    <col min="231" max="233" width="8" style="708" hidden="1" customWidth="1"/>
    <col min="234" max="237" width="9" style="708" hidden="1" customWidth="1"/>
    <col min="238" max="238" width="6.88671875" style="708" hidden="1" customWidth="1"/>
    <col min="239" max="239" width="9.6640625" style="708" hidden="1" customWidth="1"/>
    <col min="240" max="244" width="8" style="708" hidden="1" customWidth="1"/>
    <col min="245" max="245" width="7.6640625" style="708" hidden="1" customWidth="1"/>
    <col min="246" max="252" width="11.33203125" style="2525" hidden="1" customWidth="1"/>
    <col min="253" max="260" width="10.44140625" style="2525" hidden="1" customWidth="1"/>
    <col min="261" max="261" width="12.77734375" style="2525" hidden="1" customWidth="1"/>
    <col min="262" max="262" width="3.33203125" style="2525" hidden="1" customWidth="1"/>
    <col min="263" max="263" width="16.33203125" style="2525" hidden="1" customWidth="1"/>
    <col min="264" max="267" width="12.21875" style="2525" hidden="1" customWidth="1"/>
    <col min="268" max="268" width="12.21875" style="708" hidden="1" customWidth="1"/>
    <col min="269" max="269" width="14.6640625" style="708" hidden="1" customWidth="1"/>
    <col min="270" max="270" width="11.44140625" style="708" hidden="1" customWidth="1"/>
    <col min="271" max="272" width="12.88671875" style="708" hidden="1" customWidth="1"/>
    <col min="273" max="274" width="9.88671875" style="708" hidden="1" customWidth="1"/>
    <col min="275" max="275" width="12.21875" style="708" hidden="1" customWidth="1"/>
    <col min="276" max="276" width="10.6640625" style="708" hidden="1" customWidth="1"/>
    <col min="277" max="277" width="12.21875" style="708" hidden="1" customWidth="1"/>
    <col min="278" max="278" width="12.88671875" style="708" hidden="1" customWidth="1"/>
    <col min="279" max="292" width="0" style="2525" hidden="1" customWidth="1"/>
    <col min="293" max="16384" width="11.44140625" style="2525"/>
  </cols>
  <sheetData>
    <row r="1" spans="1:301" ht="9" customHeight="1" thickBot="1">
      <c r="A1" s="2566"/>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6"/>
      <c r="BF1" s="2566"/>
      <c r="BG1" s="2566"/>
      <c r="BH1" s="2566"/>
      <c r="BI1" s="2566"/>
      <c r="BJ1" s="2566"/>
      <c r="BK1" s="2566"/>
      <c r="BL1" s="2566"/>
      <c r="BM1" s="2566"/>
      <c r="BN1" s="2566"/>
      <c r="BO1" s="2566"/>
      <c r="BP1" s="2566"/>
      <c r="BQ1" s="2566"/>
      <c r="BR1" s="2566"/>
      <c r="BS1" s="2566"/>
      <c r="BT1" s="2566"/>
      <c r="BU1" s="2566"/>
      <c r="BV1" s="2566"/>
      <c r="BW1" s="2566"/>
      <c r="BX1" s="2566"/>
      <c r="BY1" s="2566"/>
      <c r="BZ1" s="2566"/>
      <c r="CA1" s="2566"/>
      <c r="CB1" s="2566"/>
      <c r="CC1" s="2566"/>
      <c r="CD1" s="2566"/>
      <c r="CE1" s="2566"/>
      <c r="CF1" s="2566"/>
      <c r="CG1" s="2566"/>
      <c r="CH1" s="2566"/>
      <c r="CI1" s="2566"/>
      <c r="CJ1" s="2566"/>
      <c r="CK1" s="2566"/>
      <c r="CL1" s="2566"/>
      <c r="CM1" s="2566"/>
      <c r="CN1" s="2566"/>
      <c r="CO1" s="2566"/>
      <c r="CP1" s="2566"/>
      <c r="CQ1" s="2566"/>
      <c r="CR1" s="2566"/>
      <c r="CS1" s="2566"/>
      <c r="CT1" s="2566"/>
      <c r="CU1" s="2566"/>
      <c r="CV1" s="2566"/>
      <c r="CW1" s="2566"/>
      <c r="CX1" s="2566"/>
      <c r="CY1" s="2566"/>
      <c r="CZ1" s="2566"/>
      <c r="DA1" s="2566"/>
      <c r="DB1" s="2566"/>
      <c r="DC1" s="2566"/>
      <c r="DD1" s="2566"/>
      <c r="DE1" s="2566"/>
      <c r="DF1" s="2566"/>
      <c r="DG1" s="2566"/>
      <c r="DH1" s="2566"/>
      <c r="DI1" s="2566"/>
      <c r="DJ1" s="2566"/>
      <c r="DK1" s="2566"/>
      <c r="DL1" s="2566"/>
      <c r="DM1" s="2566"/>
      <c r="DN1" s="2566"/>
      <c r="DO1" s="2566"/>
      <c r="DP1" s="2566"/>
      <c r="DQ1" s="2566"/>
      <c r="DR1" s="2566"/>
      <c r="DS1" s="2566"/>
      <c r="DT1" s="2566"/>
      <c r="DU1" s="2566"/>
      <c r="DV1" s="2566"/>
      <c r="DW1" s="2566"/>
      <c r="DX1" s="2566"/>
      <c r="DY1" s="2566"/>
      <c r="DZ1" s="2566"/>
      <c r="EA1" s="2566"/>
      <c r="EB1" s="2566"/>
      <c r="EC1" s="2566"/>
      <c r="ED1" s="2566"/>
      <c r="EE1" s="2566"/>
      <c r="EF1" s="2566"/>
      <c r="EG1" s="2566"/>
      <c r="EH1" s="2566"/>
      <c r="EI1" s="2566"/>
      <c r="EJ1" s="2566"/>
      <c r="EK1" s="2566"/>
      <c r="EL1" s="2566"/>
      <c r="EM1" s="2566"/>
      <c r="EN1" s="2566"/>
      <c r="EO1" s="2566"/>
      <c r="EP1" s="2566"/>
      <c r="EQ1" s="2566"/>
      <c r="ER1" s="2566"/>
      <c r="ES1" s="2566"/>
      <c r="ET1" s="2566"/>
      <c r="EU1" s="2566"/>
      <c r="EV1" s="2566"/>
      <c r="EW1" s="2566"/>
      <c r="EX1" s="2566"/>
      <c r="EY1" s="2566"/>
      <c r="EZ1" s="2566"/>
      <c r="FA1" s="2566"/>
      <c r="FB1" s="2566"/>
      <c r="FC1" s="2566"/>
      <c r="FD1" s="2566"/>
      <c r="FE1" s="2566"/>
      <c r="FF1" s="2566"/>
      <c r="FG1" s="2566"/>
      <c r="FH1" s="2566"/>
      <c r="FI1" s="2566"/>
      <c r="FJ1" s="2566"/>
      <c r="FK1" s="2566"/>
      <c r="FL1" s="2566"/>
      <c r="FM1" s="2566"/>
      <c r="FN1" s="2566"/>
      <c r="FO1" s="2566"/>
      <c r="FP1" s="2566"/>
      <c r="FQ1" s="2566"/>
      <c r="FR1" s="2566"/>
      <c r="FS1" s="2566"/>
      <c r="FT1" s="2566"/>
      <c r="FU1" s="2566"/>
      <c r="FV1" s="2566"/>
      <c r="FW1" s="2566"/>
      <c r="FX1" s="2566"/>
      <c r="FY1" s="2566"/>
      <c r="FZ1" s="2566"/>
      <c r="GA1" s="2566"/>
      <c r="GB1" s="2566"/>
      <c r="GC1" s="2566"/>
      <c r="GD1" s="2566"/>
      <c r="GE1" s="2566"/>
      <c r="GF1" s="2566"/>
      <c r="GG1" s="2566"/>
      <c r="GH1" s="2566"/>
      <c r="GI1" s="2566"/>
      <c r="GJ1" s="2566"/>
      <c r="GK1" s="2566"/>
      <c r="GL1" s="2566"/>
      <c r="GM1" s="2566"/>
      <c r="GN1" s="2566"/>
      <c r="GO1" s="2566"/>
      <c r="GP1" s="2566"/>
      <c r="GQ1" s="2566"/>
      <c r="GR1" s="2566"/>
      <c r="GS1" s="2566"/>
      <c r="GT1" s="2566"/>
      <c r="GU1" s="2566"/>
      <c r="GV1" s="2566"/>
      <c r="GW1" s="2566"/>
      <c r="GX1" s="2566"/>
      <c r="GY1" s="2566"/>
      <c r="GZ1" s="2566"/>
      <c r="HA1" s="2566"/>
      <c r="HB1" s="2566"/>
      <c r="HC1" s="2566"/>
      <c r="HD1" s="2566"/>
      <c r="HE1" s="2566"/>
      <c r="HF1" s="2566"/>
      <c r="HG1" s="2566"/>
      <c r="HH1" s="2566"/>
      <c r="HI1" s="2566"/>
      <c r="HJ1" s="2566"/>
      <c r="HK1" s="2566"/>
      <c r="HL1" s="2566"/>
      <c r="HM1" s="2566"/>
      <c r="HN1" s="2566"/>
      <c r="HO1" s="2566"/>
      <c r="HP1" s="2566"/>
      <c r="HQ1" s="2566"/>
      <c r="HR1" s="2566"/>
      <c r="HS1" s="2566"/>
      <c r="HT1" s="2566"/>
      <c r="HU1" s="2566"/>
      <c r="HV1" s="2566"/>
      <c r="HW1" s="2566"/>
      <c r="HX1" s="2566"/>
      <c r="HY1" s="2566"/>
      <c r="HZ1" s="2566"/>
      <c r="IA1" s="2566"/>
      <c r="IB1" s="2566"/>
      <c r="IC1" s="2566"/>
      <c r="ID1" s="2566"/>
      <c r="IE1" s="2566"/>
      <c r="IF1" s="2566"/>
      <c r="IG1" s="2566"/>
      <c r="IH1" s="2566"/>
      <c r="II1" s="2566"/>
      <c r="IJ1" s="2566"/>
      <c r="IK1" s="2566"/>
      <c r="IL1" s="2566"/>
      <c r="IM1" s="2566"/>
      <c r="IN1" s="2566"/>
      <c r="IO1" s="2566"/>
      <c r="IP1" s="2566"/>
      <c r="IQ1" s="2566"/>
      <c r="IR1" s="2566"/>
      <c r="IS1" s="2566"/>
      <c r="IT1" s="2566"/>
      <c r="IU1" s="2566"/>
      <c r="IV1" s="2566"/>
      <c r="IW1" s="2566"/>
      <c r="IX1" s="2566"/>
      <c r="IY1" s="2566"/>
      <c r="IZ1" s="2566"/>
      <c r="JA1" s="2566"/>
      <c r="JB1" s="2566"/>
      <c r="JC1" s="2566"/>
      <c r="JD1" s="2566"/>
      <c r="JE1" s="2566"/>
      <c r="JF1" s="2566"/>
      <c r="JG1" s="2566"/>
      <c r="JH1" s="2566"/>
      <c r="JI1" s="2566"/>
      <c r="JJ1" s="2566"/>
      <c r="JK1" s="2566"/>
      <c r="JL1" s="2566"/>
      <c r="JM1" s="2566"/>
      <c r="JN1" s="2566"/>
      <c r="JO1" s="2566"/>
      <c r="JP1" s="2566"/>
      <c r="JQ1" s="2566"/>
      <c r="JR1" s="2566"/>
      <c r="JS1" s="2566"/>
      <c r="JT1" s="2566"/>
      <c r="JU1" s="2566"/>
      <c r="JV1" s="2566"/>
      <c r="JW1" s="2566"/>
      <c r="JX1" s="2566"/>
      <c r="JY1" s="2566"/>
      <c r="JZ1" s="2566"/>
      <c r="KA1" s="2566"/>
      <c r="KB1" s="2566"/>
      <c r="KC1" s="2566"/>
      <c r="KD1" s="2566"/>
      <c r="KE1" s="2566"/>
      <c r="KF1" s="2566"/>
      <c r="KG1" s="2566"/>
      <c r="KH1" s="2566"/>
      <c r="KI1" s="2566"/>
      <c r="KJ1" s="2566"/>
      <c r="KK1" s="2566"/>
      <c r="KL1" s="2566"/>
      <c r="KM1" s="2566"/>
      <c r="KN1" s="2566"/>
      <c r="KO1" s="2566"/>
    </row>
    <row r="2" spans="1:301" ht="18" hidden="1" customHeight="1">
      <c r="A2" s="2566"/>
      <c r="B2" s="2566"/>
      <c r="C2" s="3035"/>
      <c r="D2" s="3036"/>
      <c r="E2" s="2567"/>
      <c r="F2" s="2567"/>
      <c r="G2" s="2567"/>
      <c r="H2" s="2567"/>
      <c r="I2" s="2567"/>
      <c r="J2" s="2567"/>
      <c r="K2" s="2567"/>
      <c r="L2" s="2567"/>
      <c r="M2" s="2567"/>
      <c r="N2" s="2567"/>
      <c r="O2" s="2567"/>
      <c r="P2" s="3037"/>
      <c r="Q2" s="3037"/>
      <c r="R2" s="3037"/>
      <c r="S2" s="3037"/>
      <c r="T2" s="3037"/>
      <c r="U2" s="3037"/>
      <c r="V2" s="3037"/>
      <c r="W2" s="3037"/>
      <c r="X2" s="3037"/>
      <c r="Y2" s="3037"/>
      <c r="Z2" s="3037"/>
      <c r="AA2" s="3037"/>
      <c r="AB2" s="3037"/>
      <c r="AC2" s="3037"/>
      <c r="AD2" s="3037"/>
      <c r="AE2" s="3037"/>
      <c r="AF2" s="3037"/>
      <c r="AG2" s="3037"/>
      <c r="AH2" s="3037"/>
      <c r="AI2" s="3037"/>
      <c r="AJ2" s="3037"/>
      <c r="AK2" s="3037"/>
      <c r="AL2" s="3037"/>
      <c r="AM2" s="3037"/>
      <c r="AN2" s="3037"/>
      <c r="AO2" s="3037"/>
      <c r="AP2" s="3037"/>
      <c r="AQ2" s="3037"/>
      <c r="AR2" s="3037"/>
      <c r="AS2" s="3037"/>
      <c r="AT2" s="3037"/>
      <c r="AU2" s="3037"/>
      <c r="AV2" s="3037"/>
      <c r="AW2" s="3037"/>
      <c r="AX2" s="3037"/>
      <c r="AY2" s="3037"/>
      <c r="AZ2" s="2567"/>
      <c r="BA2" s="2567"/>
      <c r="BB2" s="2567"/>
      <c r="BC2" s="2567"/>
      <c r="BD2" s="2567"/>
      <c r="BE2" s="2567"/>
      <c r="BF2" s="2567"/>
      <c r="BG2" s="2567"/>
      <c r="BH2" s="2567"/>
      <c r="BI2" s="2567"/>
      <c r="BJ2" s="2567"/>
      <c r="BK2" s="2567"/>
      <c r="BL2" s="2567"/>
      <c r="BM2" s="2567"/>
      <c r="BN2" s="2567"/>
      <c r="BO2" s="2567"/>
      <c r="BP2" s="2567"/>
      <c r="BQ2" s="2567"/>
      <c r="BR2" s="2567"/>
      <c r="BS2" s="2567"/>
      <c r="BT2" s="2567"/>
      <c r="BU2" s="2567"/>
      <c r="BV2" s="2567"/>
      <c r="BW2" s="2567"/>
      <c r="BX2" s="2567"/>
      <c r="BY2" s="2567"/>
      <c r="BZ2" s="2567"/>
      <c r="CA2" s="2567"/>
      <c r="CB2" s="2567"/>
      <c r="CC2" s="2567"/>
      <c r="CD2" s="2567"/>
      <c r="CE2" s="2567"/>
      <c r="CF2" s="2567"/>
      <c r="CG2" s="2567"/>
      <c r="CH2" s="2567"/>
      <c r="CI2" s="2567"/>
      <c r="CJ2" s="2567"/>
      <c r="CK2" s="2567"/>
      <c r="CL2" s="2567"/>
      <c r="CM2" s="2567"/>
      <c r="CN2" s="2567"/>
      <c r="CO2" s="2567"/>
      <c r="CP2" s="2567"/>
      <c r="CQ2" s="2567"/>
      <c r="CR2" s="2567"/>
      <c r="CS2" s="2567"/>
      <c r="CT2" s="2567"/>
      <c r="CU2" s="2567"/>
      <c r="CV2" s="2567"/>
      <c r="CW2" s="2567"/>
      <c r="CX2" s="2567"/>
      <c r="CY2" s="2567"/>
      <c r="CZ2" s="2567"/>
      <c r="DA2" s="2567"/>
      <c r="DB2" s="2567"/>
      <c r="DC2" s="2567"/>
      <c r="DD2" s="2567"/>
      <c r="DE2" s="2567"/>
      <c r="DF2" s="2567"/>
      <c r="DG2" s="2567"/>
      <c r="GB2" s="2587"/>
      <c r="GC2" s="2630"/>
      <c r="GD2" s="2567"/>
      <c r="GE2" s="2567"/>
      <c r="GF2" s="2567"/>
      <c r="GG2" s="2567"/>
      <c r="GH2" s="2567"/>
      <c r="GI2" s="2567"/>
      <c r="GJ2" s="2567"/>
      <c r="GK2" s="2567"/>
      <c r="GL2" s="2567"/>
      <c r="GM2" s="2568"/>
      <c r="GN2" s="2567"/>
      <c r="GO2" s="2567"/>
      <c r="GP2" s="2567"/>
      <c r="GQ2" s="2567"/>
      <c r="GR2" s="2567"/>
      <c r="GS2" s="2567"/>
      <c r="GT2" s="2567"/>
      <c r="GU2" s="2567"/>
      <c r="GV2" s="2567"/>
      <c r="GW2" s="2567"/>
      <c r="GX2" s="2630"/>
      <c r="GY2" s="2630"/>
      <c r="GZ2" s="2630"/>
      <c r="HA2" s="2630"/>
      <c r="HB2" s="2630"/>
      <c r="HC2" s="2630"/>
      <c r="HD2" s="2630"/>
      <c r="HE2" s="2630"/>
      <c r="HF2" s="2630"/>
      <c r="HG2" s="2630"/>
      <c r="HH2" s="2630"/>
      <c r="HI2" s="2630"/>
      <c r="HJ2" s="2630"/>
      <c r="HK2" s="2630"/>
      <c r="HL2" s="2630"/>
      <c r="HM2" s="2631"/>
      <c r="HN2" s="2631"/>
      <c r="HO2" s="2631"/>
      <c r="HP2" s="2631"/>
      <c r="HQ2" s="2631"/>
      <c r="HR2" s="2631"/>
      <c r="HS2" s="2631"/>
      <c r="HT2" s="2630"/>
      <c r="HU2" s="2630"/>
      <c r="HV2" s="2630"/>
      <c r="HW2" s="2630"/>
      <c r="HX2" s="2630"/>
      <c r="HY2" s="2630"/>
      <c r="HZ2" s="2630"/>
      <c r="IA2" s="2630"/>
      <c r="IB2" s="2630"/>
      <c r="IC2" s="2630"/>
      <c r="ID2" s="2630"/>
      <c r="IE2" s="2630"/>
      <c r="IF2" s="2630"/>
      <c r="IG2" s="2630"/>
      <c r="IH2" s="2630"/>
      <c r="II2" s="2630"/>
      <c r="IJ2" s="2630"/>
      <c r="IK2" s="2566"/>
      <c r="IL2" s="3038"/>
      <c r="IM2" s="3038"/>
      <c r="IN2" s="3038"/>
      <c r="IO2" s="3038"/>
      <c r="IP2" s="3038"/>
      <c r="IQ2" s="3038"/>
      <c r="IR2" s="3038"/>
      <c r="IS2" s="3038"/>
      <c r="IT2" s="3038"/>
      <c r="IU2" s="3039"/>
      <c r="IV2" s="3040"/>
      <c r="IW2" s="3040"/>
      <c r="IX2" s="3040"/>
      <c r="IY2" s="3041"/>
      <c r="IZ2" s="3042"/>
      <c r="JC2" s="3040"/>
      <c r="JD2" s="2566"/>
      <c r="JE2" s="2566"/>
      <c r="JF2" s="2566"/>
      <c r="JG2" s="2566"/>
      <c r="JH2" s="3043"/>
      <c r="JI2" s="3044"/>
      <c r="JJ2" s="2566"/>
      <c r="JK2" s="2566"/>
      <c r="JL2" s="2566"/>
      <c r="JM2" s="2566"/>
      <c r="JN2" s="2566"/>
      <c r="JO2" s="3043"/>
      <c r="JP2" s="3043"/>
      <c r="JQ2" s="3043"/>
      <c r="JS2" s="2566"/>
      <c r="JT2" s="2566"/>
      <c r="JU2" s="2566"/>
      <c r="JV2" s="2566"/>
      <c r="JW2" s="2566"/>
      <c r="JX2" s="2566"/>
      <c r="JY2" s="2566"/>
      <c r="JZ2" s="2566"/>
      <c r="KA2" s="2566"/>
      <c r="KB2" s="2566"/>
      <c r="KC2" s="2566"/>
      <c r="KD2" s="2566"/>
      <c r="KE2" s="2566"/>
      <c r="KF2" s="2566"/>
      <c r="KG2" s="2566"/>
      <c r="KH2" s="2566"/>
      <c r="KI2" s="2566"/>
      <c r="KJ2" s="2566"/>
      <c r="KK2" s="2566"/>
      <c r="KL2" s="2566"/>
      <c r="KM2" s="2566"/>
      <c r="KN2" s="2566"/>
      <c r="KO2" s="2566"/>
    </row>
    <row r="3" spans="1:301" s="3049" customFormat="1" ht="55.2" customHeight="1" thickBot="1">
      <c r="A3" s="3045"/>
      <c r="B3" s="2629"/>
      <c r="C3" s="3046" t="s">
        <v>447</v>
      </c>
      <c r="D3" s="3047"/>
      <c r="E3" s="2627"/>
      <c r="F3" s="2627"/>
      <c r="G3" s="2627"/>
      <c r="H3" s="2627"/>
      <c r="I3" s="2627"/>
      <c r="J3" s="2627"/>
      <c r="K3" s="2627"/>
      <c r="L3" s="2627"/>
      <c r="M3" s="2627"/>
      <c r="N3" s="2627"/>
      <c r="O3" s="2627"/>
      <c r="P3" s="3048"/>
      <c r="Q3" s="3048"/>
      <c r="R3" s="3048"/>
      <c r="S3" s="3048"/>
      <c r="T3" s="3048"/>
      <c r="U3" s="3048"/>
      <c r="V3" s="3048"/>
      <c r="W3" s="3048"/>
      <c r="X3" s="3048"/>
      <c r="Y3" s="3048"/>
      <c r="Z3" s="3048"/>
      <c r="AA3" s="3048"/>
      <c r="AB3" s="3048"/>
      <c r="AC3" s="3048"/>
      <c r="AD3" s="3048"/>
      <c r="AE3" s="3048"/>
      <c r="AF3" s="3048"/>
      <c r="AG3" s="3048"/>
      <c r="AH3" s="3048"/>
      <c r="AI3" s="3048"/>
      <c r="AJ3" s="3048"/>
      <c r="AK3" s="3048"/>
      <c r="AL3" s="3048"/>
      <c r="AM3" s="3048"/>
      <c r="AN3" s="3048"/>
      <c r="AO3" s="3048"/>
      <c r="AP3" s="3048"/>
      <c r="AQ3" s="3048"/>
      <c r="AR3" s="3048"/>
      <c r="AS3" s="3048"/>
      <c r="AT3" s="3048"/>
      <c r="AU3" s="3048"/>
      <c r="AV3" s="3048"/>
      <c r="AW3" s="3048"/>
      <c r="AX3" s="3048"/>
      <c r="AY3" s="3048"/>
      <c r="AZ3" s="2627"/>
      <c r="BA3" s="2627"/>
      <c r="BB3" s="2627"/>
      <c r="BC3" s="2627"/>
      <c r="BD3" s="2627"/>
      <c r="BE3" s="2627"/>
      <c r="BF3" s="2627"/>
      <c r="BG3" s="2627"/>
      <c r="BH3" s="2627"/>
      <c r="BI3" s="2627"/>
      <c r="BJ3" s="2627"/>
      <c r="BK3" s="2627"/>
      <c r="BL3" s="2627"/>
      <c r="BM3" s="2627"/>
      <c r="BN3" s="2627"/>
      <c r="BO3" s="2627"/>
      <c r="BP3" s="2627"/>
      <c r="BQ3" s="2627"/>
      <c r="BR3" s="2627"/>
      <c r="BS3" s="2627"/>
      <c r="BT3" s="2627"/>
      <c r="BU3" s="2627"/>
      <c r="BV3" s="2627"/>
      <c r="BW3" s="2627"/>
      <c r="BX3" s="2627"/>
      <c r="BY3" s="2627"/>
      <c r="BZ3" s="2627"/>
      <c r="CA3" s="2627"/>
      <c r="CB3" s="2627"/>
      <c r="CC3" s="2627"/>
      <c r="CD3" s="2627"/>
      <c r="CE3" s="2627"/>
      <c r="CF3" s="2627"/>
      <c r="CG3" s="2627"/>
      <c r="CH3" s="2627"/>
      <c r="CI3" s="2627"/>
      <c r="CJ3" s="2627"/>
      <c r="CK3" s="2627"/>
      <c r="CL3" s="2627"/>
      <c r="CM3" s="2627"/>
      <c r="CN3" s="2627"/>
      <c r="CO3" s="2627"/>
      <c r="CP3" s="2627"/>
      <c r="CQ3" s="2627"/>
      <c r="CR3" s="2627"/>
      <c r="CS3" s="2627"/>
      <c r="CT3" s="2627"/>
      <c r="CU3" s="2627"/>
      <c r="CV3" s="2627"/>
      <c r="CW3" s="2627"/>
      <c r="CX3" s="2627"/>
      <c r="CY3" s="2627"/>
      <c r="CZ3" s="2627"/>
      <c r="DA3" s="2627"/>
      <c r="DB3" s="2627"/>
      <c r="DC3" s="2627"/>
      <c r="DD3" s="2627"/>
      <c r="DE3" s="2627"/>
      <c r="DF3" s="2627"/>
      <c r="DG3" s="2627"/>
      <c r="EV3" s="3050"/>
      <c r="EW3" s="3050"/>
      <c r="EX3" s="3050"/>
      <c r="EY3" s="3050"/>
      <c r="EZ3" s="3050"/>
      <c r="FA3" s="3050"/>
      <c r="FB3" s="3050"/>
      <c r="FC3" s="3050"/>
      <c r="FD3" s="5522" t="s">
        <v>1486</v>
      </c>
      <c r="FE3" s="5522"/>
      <c r="FF3" s="5522"/>
      <c r="FG3" s="5522"/>
      <c r="FH3" s="5522"/>
      <c r="FI3" s="5522"/>
      <c r="FJ3" s="5522"/>
      <c r="FK3" s="5522"/>
      <c r="FL3" s="5522"/>
      <c r="FM3" s="5522"/>
      <c r="FN3" s="5522"/>
      <c r="FO3" s="5522"/>
      <c r="FP3" s="5522"/>
      <c r="FQ3" s="5522"/>
      <c r="FR3" s="5522"/>
      <c r="FS3" s="5522"/>
      <c r="FT3" s="5522"/>
      <c r="FU3" s="5522"/>
      <c r="FV3" s="5522"/>
      <c r="FW3" s="5522"/>
      <c r="FX3" s="5522"/>
      <c r="FY3" s="5522"/>
      <c r="FZ3" s="5522"/>
      <c r="GA3" s="5522"/>
      <c r="GB3" s="2626"/>
      <c r="GC3" s="2588"/>
      <c r="GD3" s="2627"/>
      <c r="GE3" s="2627"/>
      <c r="GF3" s="2627"/>
      <c r="GG3" s="2627"/>
      <c r="GH3" s="2627"/>
      <c r="GI3" s="2627"/>
      <c r="GJ3" s="2627"/>
      <c r="GK3" s="2627"/>
      <c r="GL3" s="2627"/>
      <c r="GM3" s="2628"/>
      <c r="GN3" s="2627"/>
      <c r="GO3" s="2627"/>
      <c r="GP3" s="2627"/>
      <c r="GQ3" s="2627"/>
      <c r="GR3" s="2627"/>
      <c r="GS3" s="2627"/>
      <c r="GT3" s="2627"/>
      <c r="GU3" s="2627"/>
      <c r="GV3" s="2627"/>
      <c r="GW3" s="2627"/>
      <c r="GX3" s="2588"/>
      <c r="GY3" s="2588"/>
      <c r="GZ3" s="2588"/>
      <c r="HA3" s="2588"/>
      <c r="HB3" s="2588"/>
      <c r="HC3" s="2588"/>
      <c r="HD3" s="2588"/>
      <c r="HE3" s="2588"/>
      <c r="HF3" s="2588"/>
      <c r="HG3" s="2588"/>
      <c r="HH3" s="2588"/>
      <c r="HI3" s="2588"/>
      <c r="HJ3" s="2588"/>
      <c r="HK3" s="2588"/>
      <c r="HL3" s="2588"/>
      <c r="HM3" s="2589"/>
      <c r="HN3" s="2589"/>
      <c r="HO3" s="2589"/>
      <c r="HP3" s="2589"/>
      <c r="HQ3" s="2589"/>
      <c r="HR3" s="2589"/>
      <c r="HS3" s="2589"/>
      <c r="HT3" s="2588"/>
      <c r="HU3" s="2588"/>
      <c r="HV3" s="2588"/>
      <c r="HW3" s="2588"/>
      <c r="HX3" s="2588"/>
      <c r="HY3" s="2588"/>
      <c r="HZ3" s="2588"/>
      <c r="IA3" s="2588"/>
      <c r="IB3" s="2588"/>
      <c r="IC3" s="5523" t="s">
        <v>1487</v>
      </c>
      <c r="ID3" s="5523"/>
      <c r="IE3" s="5523"/>
      <c r="IF3" s="5523"/>
      <c r="IG3" s="5523"/>
      <c r="IH3" s="5523"/>
      <c r="II3" s="5523"/>
      <c r="IJ3" s="5523"/>
      <c r="IK3" s="2629"/>
      <c r="IL3" s="3051"/>
      <c r="IM3" s="3051"/>
      <c r="IN3" s="3051"/>
      <c r="IO3" s="3051"/>
      <c r="IP3" s="3051"/>
      <c r="IQ3" s="3051"/>
      <c r="IR3" s="3051"/>
      <c r="IS3" s="3051"/>
      <c r="IT3" s="3051"/>
      <c r="IU3" s="3052"/>
      <c r="IV3" s="3053"/>
      <c r="IW3" s="3053"/>
      <c r="IX3" s="3053"/>
      <c r="IY3" s="5524" t="s">
        <v>1484</v>
      </c>
      <c r="IZ3" s="5525"/>
      <c r="JC3" s="3053"/>
      <c r="JD3" s="2629"/>
      <c r="JE3" s="2629"/>
      <c r="JF3" s="2629"/>
      <c r="JG3" s="2629"/>
      <c r="JH3" s="5526" t="s">
        <v>1485</v>
      </c>
      <c r="JI3" s="5526"/>
      <c r="JJ3" s="2629"/>
      <c r="JK3" s="2629"/>
      <c r="JL3" s="2629"/>
      <c r="JM3" s="2629"/>
      <c r="JN3" s="2629"/>
      <c r="JO3" s="5526" t="s">
        <v>1489</v>
      </c>
      <c r="JP3" s="5526"/>
      <c r="JQ3" s="5526"/>
      <c r="JR3" s="3054"/>
      <c r="JS3" s="2629"/>
      <c r="JT3" s="2629"/>
      <c r="JU3" s="2629"/>
      <c r="JV3" s="2629"/>
      <c r="JW3" s="2629"/>
      <c r="JX3" s="2629"/>
      <c r="JY3" s="2629"/>
      <c r="JZ3" s="2629"/>
      <c r="KA3" s="2629"/>
      <c r="KB3" s="2629"/>
      <c r="KC3" s="2629"/>
      <c r="KD3" s="2629"/>
      <c r="KE3" s="2629"/>
      <c r="KF3" s="2629"/>
      <c r="KG3" s="2629"/>
      <c r="KH3" s="2629"/>
      <c r="KI3" s="2629"/>
      <c r="KJ3" s="2629"/>
      <c r="KK3" s="2629"/>
      <c r="KL3" s="2629"/>
      <c r="KM3" s="2629"/>
      <c r="KN3" s="2629"/>
      <c r="KO3" s="2629"/>
    </row>
    <row r="4" spans="1:301" s="381" customFormat="1" ht="18" customHeight="1" thickBot="1">
      <c r="A4" s="2566"/>
      <c r="B4" s="3055"/>
      <c r="C4" s="3056" t="s">
        <v>479</v>
      </c>
      <c r="D4" s="3057"/>
      <c r="E4" s="3058"/>
      <c r="F4" s="3058"/>
      <c r="G4" s="3058"/>
      <c r="H4" s="3058"/>
      <c r="I4" s="3058"/>
      <c r="J4" s="3058"/>
      <c r="K4" s="3058"/>
      <c r="L4" s="3058"/>
      <c r="M4" s="3058"/>
      <c r="N4" s="3058"/>
      <c r="O4" s="3058"/>
      <c r="P4" s="3059"/>
      <c r="Q4" s="3059"/>
      <c r="R4" s="3059"/>
      <c r="S4" s="3059"/>
      <c r="T4" s="3059"/>
      <c r="U4" s="3059"/>
      <c r="V4" s="3059"/>
      <c r="W4" s="3059"/>
      <c r="X4" s="3059"/>
      <c r="Y4" s="3059"/>
      <c r="Z4" s="3059"/>
      <c r="AA4" s="3059"/>
      <c r="AB4" s="3059"/>
      <c r="AC4" s="3059"/>
      <c r="AD4" s="3059"/>
      <c r="AE4" s="3059"/>
      <c r="AF4" s="3059"/>
      <c r="AG4" s="3059"/>
      <c r="AH4" s="3059"/>
      <c r="AI4" s="3059"/>
      <c r="AJ4" s="3059"/>
      <c r="AK4" s="3059"/>
      <c r="AL4" s="3059"/>
      <c r="AM4" s="3059"/>
      <c r="AN4" s="3059"/>
      <c r="AO4" s="3059"/>
      <c r="AP4" s="3059"/>
      <c r="AQ4" s="3059"/>
      <c r="AR4" s="3059"/>
      <c r="AS4" s="3059"/>
      <c r="AT4" s="3059"/>
      <c r="AU4" s="3059"/>
      <c r="AV4" s="3059"/>
      <c r="AW4" s="3059"/>
      <c r="AX4" s="3059"/>
      <c r="AY4" s="3059"/>
      <c r="AZ4" s="3058"/>
      <c r="BA4" s="3058"/>
      <c r="BB4" s="3058"/>
      <c r="BC4" s="3058"/>
      <c r="BD4" s="3058"/>
      <c r="BE4" s="3058"/>
      <c r="BF4" s="3058"/>
      <c r="BG4" s="3058"/>
      <c r="BH4" s="3058"/>
      <c r="BI4" s="3058"/>
      <c r="BJ4" s="3058"/>
      <c r="BK4" s="3058"/>
      <c r="BL4" s="3058"/>
      <c r="BM4" s="3058"/>
      <c r="BN4" s="3058"/>
      <c r="BO4" s="3058"/>
      <c r="BP4" s="3058"/>
      <c r="BQ4" s="3058"/>
      <c r="BR4" s="3058"/>
      <c r="BS4" s="3058"/>
      <c r="BT4" s="3058"/>
      <c r="BU4" s="3058"/>
      <c r="BV4" s="3058"/>
      <c r="BW4" s="3058"/>
      <c r="BX4" s="3058"/>
      <c r="BY4" s="3058"/>
      <c r="BZ4" s="3058"/>
      <c r="CA4" s="3058"/>
      <c r="CB4" s="3058"/>
      <c r="CC4" s="3058"/>
      <c r="CD4" s="3058"/>
      <c r="CE4" s="3058"/>
      <c r="CF4" s="3058"/>
      <c r="CG4" s="3058"/>
      <c r="CH4" s="3058"/>
      <c r="CI4" s="3058"/>
      <c r="CJ4" s="3058"/>
      <c r="CK4" s="3058"/>
      <c r="CL4" s="3058"/>
      <c r="CM4" s="3058"/>
      <c r="CN4" s="3058"/>
      <c r="CO4" s="3058"/>
      <c r="CP4" s="3058"/>
      <c r="CQ4" s="3058"/>
      <c r="CR4" s="3058"/>
      <c r="CS4" s="3058"/>
      <c r="CT4" s="3058"/>
      <c r="CU4" s="3058"/>
      <c r="CV4" s="3058"/>
      <c r="CW4" s="3058"/>
      <c r="CX4" s="3058"/>
      <c r="CY4" s="3058"/>
      <c r="CZ4" s="3058"/>
      <c r="DA4" s="3058"/>
      <c r="DB4" s="3058"/>
      <c r="DC4" s="3058"/>
      <c r="DD4" s="3058"/>
      <c r="DE4" s="3058"/>
      <c r="DF4" s="3058"/>
      <c r="DG4" s="3058"/>
      <c r="ES4" s="2564"/>
      <c r="EV4" s="2565"/>
      <c r="EW4" s="2565"/>
      <c r="EX4" s="2565"/>
      <c r="EY4" s="2565"/>
      <c r="EZ4" s="2565"/>
      <c r="FA4" s="2565"/>
      <c r="FB4" s="2565"/>
      <c r="FC4" s="2565"/>
      <c r="FD4" s="5527" t="s">
        <v>1188</v>
      </c>
      <c r="FE4" s="5528"/>
      <c r="FF4" s="5528"/>
      <c r="FG4" s="5528"/>
      <c r="FH4" s="5528"/>
      <c r="FI4" s="5528"/>
      <c r="FJ4" s="5528"/>
      <c r="FK4" s="5528"/>
      <c r="FL4" s="5528"/>
      <c r="FM4" s="5528"/>
      <c r="FN4" s="5528"/>
      <c r="FO4" s="5528"/>
      <c r="FP4" s="5527" t="s">
        <v>1188</v>
      </c>
      <c r="FQ4" s="5528"/>
      <c r="FR4" s="5528"/>
      <c r="FS4" s="5528"/>
      <c r="FT4" s="5528"/>
      <c r="FU4" s="5528"/>
      <c r="FV4" s="5528"/>
      <c r="FW4" s="5528"/>
      <c r="FX4" s="5528"/>
      <c r="FY4" s="5528"/>
      <c r="FZ4" s="5528"/>
      <c r="GA4" s="5528"/>
      <c r="GB4" s="2592"/>
      <c r="GC4" s="2632"/>
      <c r="GD4" s="2633"/>
      <c r="GE4" s="2633"/>
      <c r="GF4" s="2633"/>
      <c r="GG4" s="2633"/>
      <c r="GH4" s="2633"/>
      <c r="GI4" s="2633"/>
      <c r="GJ4" s="2633"/>
      <c r="GK4" s="2633"/>
      <c r="GL4" s="2633"/>
      <c r="GM4" s="2634"/>
      <c r="GN4" s="2633"/>
      <c r="GO4" s="2633"/>
      <c r="GP4" s="2633"/>
      <c r="GQ4" s="2633"/>
      <c r="GR4" s="2633"/>
      <c r="GS4" s="2633"/>
      <c r="GT4" s="2633"/>
      <c r="GU4" s="2633"/>
      <c r="GV4" s="2633"/>
      <c r="GW4" s="2633"/>
      <c r="GX4" s="2632"/>
      <c r="GY4" s="2632"/>
      <c r="GZ4" s="2632"/>
      <c r="HA4" s="2632"/>
      <c r="HB4" s="2632"/>
      <c r="HC4" s="2632"/>
      <c r="HD4" s="2632"/>
      <c r="HE4" s="2632"/>
      <c r="HF4" s="2632"/>
      <c r="HG4" s="2632"/>
      <c r="HH4" s="2632"/>
      <c r="HI4" s="2632"/>
      <c r="HJ4" s="2632"/>
      <c r="HK4" s="2632"/>
      <c r="HL4" s="2632"/>
      <c r="HM4" s="2635"/>
      <c r="HN4" s="2635"/>
      <c r="HO4" s="2635"/>
      <c r="HP4" s="2635"/>
      <c r="HQ4" s="2635"/>
      <c r="HR4" s="2635"/>
      <c r="HS4" s="2635"/>
      <c r="HT4" s="2632"/>
      <c r="HU4" s="2632"/>
      <c r="HV4" s="2632"/>
      <c r="HW4" s="2632"/>
      <c r="HX4" s="2632"/>
      <c r="HY4" s="2632"/>
      <c r="HZ4" s="2632"/>
      <c r="IA4" s="2632"/>
      <c r="IB4" s="2632"/>
      <c r="IC4" s="5529" t="s">
        <v>1478</v>
      </c>
      <c r="ID4" s="5530"/>
      <c r="IE4" s="5530"/>
      <c r="IF4" s="5531"/>
      <c r="IG4" s="5529" t="s">
        <v>1478</v>
      </c>
      <c r="IH4" s="5530"/>
      <c r="II4" s="5530"/>
      <c r="IJ4" s="5530"/>
      <c r="IK4" s="2636"/>
      <c r="IL4" s="3060"/>
      <c r="IM4" s="3060"/>
      <c r="IN4" s="3060"/>
      <c r="IO4" s="3060"/>
      <c r="IP4" s="3060"/>
      <c r="IQ4" s="3061"/>
      <c r="IR4" s="3061"/>
      <c r="IS4" s="3061"/>
      <c r="IT4" s="3061"/>
      <c r="IU4" s="3062"/>
      <c r="IV4" s="3063"/>
      <c r="IW4" s="3063"/>
      <c r="IX4" s="3063"/>
      <c r="IY4" s="3064" t="s">
        <v>1146</v>
      </c>
      <c r="IZ4" s="3064" t="s">
        <v>1146</v>
      </c>
      <c r="JA4" s="3581" t="s">
        <v>1522</v>
      </c>
      <c r="JC4" s="3065"/>
      <c r="JD4" s="3065"/>
      <c r="JE4" s="3065"/>
      <c r="JF4" s="3065"/>
      <c r="JG4" s="3065"/>
      <c r="JH4" s="3066">
        <v>2020</v>
      </c>
      <c r="JI4" s="3067">
        <v>2021</v>
      </c>
      <c r="JJ4" s="3068"/>
      <c r="JK4" s="3069"/>
      <c r="JL4" s="3069"/>
      <c r="JM4" s="3069"/>
      <c r="JN4" s="3069"/>
      <c r="JO4" s="3069">
        <v>2020</v>
      </c>
      <c r="JP4" s="3070">
        <v>2021</v>
      </c>
      <c r="JQ4" s="3070">
        <v>2021</v>
      </c>
      <c r="JR4" s="2190"/>
      <c r="JS4" s="3055"/>
      <c r="JT4" s="3055"/>
      <c r="JU4" s="3055"/>
      <c r="JV4" s="3055"/>
      <c r="JW4" s="3055"/>
      <c r="JX4" s="3055"/>
      <c r="JY4" s="3055"/>
      <c r="JZ4" s="3055"/>
      <c r="KA4" s="3055"/>
      <c r="KB4" s="3055"/>
      <c r="KC4" s="3055"/>
      <c r="KD4" s="3055"/>
      <c r="KE4" s="3055"/>
      <c r="KF4" s="3055"/>
      <c r="KG4" s="3055"/>
      <c r="KH4" s="3055"/>
      <c r="KI4" s="3055"/>
      <c r="KJ4" s="3055"/>
      <c r="KK4" s="3055"/>
      <c r="KL4" s="3055"/>
      <c r="KM4" s="3055"/>
      <c r="KN4" s="3055"/>
      <c r="KO4" s="3055"/>
    </row>
    <row r="5" spans="1:301" ht="15" hidden="1" customHeight="1">
      <c r="A5" s="2566"/>
      <c r="B5" s="2566"/>
      <c r="C5" s="3071"/>
      <c r="D5" s="5520" t="s">
        <v>448</v>
      </c>
      <c r="E5" s="5520"/>
      <c r="F5" s="5520"/>
      <c r="G5" s="5520"/>
      <c r="H5" s="5520"/>
      <c r="I5" s="5520"/>
      <c r="J5" s="5520"/>
      <c r="K5" s="5520"/>
      <c r="L5" s="5520"/>
      <c r="M5" s="5520"/>
      <c r="N5" s="5520"/>
      <c r="O5" s="5520"/>
      <c r="P5" s="5520" t="s">
        <v>448</v>
      </c>
      <c r="Q5" s="5520"/>
      <c r="R5" s="5520"/>
      <c r="S5" s="5520"/>
      <c r="T5" s="5520"/>
      <c r="U5" s="5520"/>
      <c r="V5" s="5520"/>
      <c r="W5" s="5520"/>
      <c r="X5" s="5520"/>
      <c r="Y5" s="5520"/>
      <c r="Z5" s="5520"/>
      <c r="AA5" s="5520"/>
      <c r="AB5" s="5520" t="s">
        <v>448</v>
      </c>
      <c r="AC5" s="5520"/>
      <c r="AD5" s="5520"/>
      <c r="AE5" s="5520"/>
      <c r="AF5" s="5520"/>
      <c r="AG5" s="5520"/>
      <c r="AH5" s="5520"/>
      <c r="AI5" s="5520"/>
      <c r="AJ5" s="5520"/>
      <c r="AK5" s="5520"/>
      <c r="AL5" s="5520"/>
      <c r="AM5" s="5520"/>
      <c r="AN5" s="5520" t="s">
        <v>448</v>
      </c>
      <c r="AO5" s="5520"/>
      <c r="AP5" s="5520"/>
      <c r="AQ5" s="5520"/>
      <c r="AR5" s="5520"/>
      <c r="AS5" s="5520"/>
      <c r="AT5" s="5520"/>
      <c r="AU5" s="5520"/>
      <c r="AV5" s="5520"/>
      <c r="AW5" s="5520"/>
      <c r="AX5" s="5520"/>
      <c r="AY5" s="5520"/>
      <c r="AZ5" s="5520" t="s">
        <v>448</v>
      </c>
      <c r="BA5" s="5520"/>
      <c r="BB5" s="5520"/>
      <c r="BC5" s="5520"/>
      <c r="BD5" s="5520"/>
      <c r="BE5" s="5520"/>
      <c r="BF5" s="5520"/>
      <c r="BG5" s="5520"/>
      <c r="BH5" s="5520"/>
      <c r="BI5" s="5520"/>
      <c r="BJ5" s="5520"/>
      <c r="BK5" s="5520"/>
      <c r="BL5" s="3606"/>
      <c r="BM5" s="3606"/>
      <c r="BN5" s="3606"/>
      <c r="BO5" s="3606"/>
      <c r="BP5" s="3606"/>
      <c r="BQ5" s="3606"/>
      <c r="BR5" s="3606"/>
      <c r="BS5" s="3606"/>
      <c r="BT5" s="3606"/>
      <c r="BU5" s="3606"/>
      <c r="BV5" s="3606"/>
      <c r="BW5" s="3606"/>
      <c r="BX5" s="3606"/>
      <c r="BY5" s="3606"/>
      <c r="BZ5" s="3606"/>
      <c r="CA5" s="3606"/>
      <c r="CB5" s="3606" t="s">
        <v>448</v>
      </c>
      <c r="CC5" s="3606"/>
      <c r="CD5" s="3606"/>
      <c r="CE5" s="3606"/>
      <c r="CF5" s="3606"/>
      <c r="CG5" s="3606"/>
      <c r="CH5" s="3606"/>
      <c r="CI5" s="3606"/>
      <c r="CJ5" s="3606"/>
      <c r="CK5" s="3606"/>
      <c r="CL5" s="3606"/>
      <c r="CM5" s="3606"/>
      <c r="CN5" s="3606"/>
      <c r="CO5" s="3606"/>
      <c r="CP5" s="3606"/>
      <c r="CQ5" s="3606"/>
      <c r="CR5" s="3606"/>
      <c r="CS5" s="3606"/>
      <c r="CT5" s="3606"/>
      <c r="CU5" s="3606"/>
      <c r="CV5" s="3606"/>
      <c r="CW5" s="3606"/>
      <c r="CX5" s="3606"/>
      <c r="CY5" s="3606"/>
      <c r="CZ5" s="3606"/>
      <c r="DA5" s="3606"/>
      <c r="DB5" s="3606"/>
      <c r="DC5" s="3606"/>
      <c r="DD5" s="3606"/>
      <c r="DE5" s="3606"/>
      <c r="DF5" s="3606"/>
      <c r="DG5" s="3606"/>
      <c r="DH5" s="3072"/>
      <c r="DI5" s="3072"/>
      <c r="DJ5" s="3072"/>
      <c r="DK5" s="3072"/>
      <c r="DL5" s="3072"/>
      <c r="DM5" s="3072"/>
      <c r="DN5" s="3072"/>
      <c r="DO5" s="3072"/>
      <c r="DP5" s="3072"/>
      <c r="DQ5" s="3072"/>
      <c r="DR5" s="3072"/>
      <c r="DS5" s="3072"/>
      <c r="DT5" s="3072"/>
      <c r="DU5" s="3072"/>
      <c r="DV5" s="3072"/>
      <c r="DW5" s="3072"/>
      <c r="DX5" s="3072"/>
      <c r="DY5" s="3072"/>
      <c r="DZ5" s="3072"/>
      <c r="EA5" s="3072"/>
      <c r="EB5" s="3072"/>
      <c r="EC5" s="3072"/>
      <c r="ED5" s="3072"/>
      <c r="EE5" s="3072"/>
      <c r="EF5" s="3072"/>
      <c r="EG5" s="3072"/>
      <c r="EH5" s="3072"/>
      <c r="EI5" s="3072"/>
      <c r="EJ5" s="3072"/>
      <c r="EK5" s="3072"/>
      <c r="EL5" s="3072"/>
      <c r="EM5" s="3072"/>
      <c r="EN5" s="3072"/>
      <c r="EO5" s="3072"/>
      <c r="EP5" s="3072"/>
      <c r="EQ5" s="3072"/>
      <c r="ER5" s="3072"/>
      <c r="ES5" s="3072"/>
      <c r="ET5" s="3072"/>
      <c r="EU5" s="3072"/>
      <c r="EV5" s="3072"/>
      <c r="EW5" s="3072"/>
      <c r="EX5" s="3072"/>
      <c r="EY5" s="3072"/>
      <c r="EZ5" s="3072"/>
      <c r="FA5" s="3072"/>
      <c r="FB5" s="3072"/>
      <c r="FC5" s="3072"/>
      <c r="FD5" s="2637"/>
      <c r="FE5" s="2637"/>
      <c r="FF5" s="2637"/>
      <c r="FG5" s="2637"/>
      <c r="FH5" s="2637"/>
      <c r="FI5" s="2637"/>
      <c r="FJ5" s="2637"/>
      <c r="FK5" s="2637"/>
      <c r="FL5" s="2637"/>
      <c r="FM5" s="2637"/>
      <c r="FN5" s="2637"/>
      <c r="FO5" s="2637"/>
      <c r="FP5" s="2638"/>
      <c r="FQ5" s="2639"/>
      <c r="FR5" s="2639"/>
      <c r="FS5" s="2639"/>
      <c r="FT5" s="2639"/>
      <c r="FU5" s="2639"/>
      <c r="FV5" s="2639"/>
      <c r="FW5" s="2639"/>
      <c r="FX5" s="2639"/>
      <c r="FY5" s="2639"/>
      <c r="FZ5" s="2639"/>
      <c r="GA5" s="2639"/>
      <c r="GB5" s="2592"/>
      <c r="GC5" s="2569"/>
      <c r="GD5" s="5521" t="s">
        <v>449</v>
      </c>
      <c r="GE5" s="5521"/>
      <c r="GF5" s="5521"/>
      <c r="GG5" s="5521"/>
      <c r="GH5" s="5521"/>
      <c r="GI5" s="5521"/>
      <c r="GJ5" s="5521"/>
      <c r="GK5" s="5521"/>
      <c r="GL5" s="5521"/>
      <c r="GM5" s="5521"/>
      <c r="GN5" s="5521"/>
      <c r="GO5" s="5521"/>
      <c r="GP5" s="5521"/>
      <c r="GQ5" s="5521"/>
      <c r="GR5" s="5521"/>
      <c r="GS5" s="5521"/>
      <c r="GT5" s="5521"/>
      <c r="GU5" s="5521"/>
      <c r="GV5" s="5521"/>
      <c r="GW5" s="5521"/>
      <c r="GX5" s="5521"/>
      <c r="GY5" s="5521"/>
      <c r="GZ5" s="5521"/>
      <c r="HA5" s="5521"/>
      <c r="HB5" s="5521"/>
      <c r="HC5" s="3608"/>
      <c r="HD5" s="3608"/>
      <c r="HE5" s="3608"/>
      <c r="HF5" s="3608"/>
      <c r="HG5" s="3608"/>
      <c r="HH5" s="3608"/>
      <c r="HI5" s="3608"/>
      <c r="HJ5" s="3608"/>
      <c r="HK5" s="3608"/>
      <c r="HL5" s="3608"/>
      <c r="HM5" s="2640"/>
      <c r="HN5" s="2640"/>
      <c r="HO5" s="2640"/>
      <c r="HP5" s="2640"/>
      <c r="HQ5" s="2640"/>
      <c r="HR5" s="2640"/>
      <c r="HS5" s="2570"/>
      <c r="HT5" s="2569"/>
      <c r="HU5" s="2569"/>
      <c r="HV5" s="2569"/>
      <c r="HW5" s="3608"/>
      <c r="HX5" s="3608"/>
      <c r="HY5" s="2569"/>
      <c r="HZ5" s="2569"/>
      <c r="IA5" s="3608"/>
      <c r="IB5" s="3608"/>
      <c r="IC5" s="3608"/>
      <c r="ID5" s="3608"/>
      <c r="IE5" s="3608"/>
      <c r="IF5" s="3608"/>
      <c r="IG5" s="3608"/>
      <c r="IH5" s="3608"/>
      <c r="II5" s="3608"/>
      <c r="IJ5" s="3608"/>
      <c r="IK5" s="5512" t="s">
        <v>450</v>
      </c>
      <c r="IL5" s="5513"/>
      <c r="IM5" s="5513"/>
      <c r="IN5" s="5513"/>
      <c r="IO5" s="5513"/>
      <c r="IP5" s="5513"/>
      <c r="IQ5" s="3607"/>
      <c r="IR5" s="3607"/>
      <c r="IS5" s="3607"/>
      <c r="IT5" s="3607"/>
      <c r="IU5" s="3607"/>
      <c r="IV5" s="3073"/>
      <c r="IW5" s="3073"/>
      <c r="IX5" s="3073"/>
      <c r="IY5" s="3074"/>
      <c r="IZ5" s="3075"/>
      <c r="JA5" s="3578"/>
      <c r="JC5" s="3073"/>
      <c r="JD5" s="2566"/>
      <c r="JE5" s="2566"/>
      <c r="JF5" s="2566"/>
      <c r="JG5" s="2566"/>
      <c r="JH5" s="2566"/>
      <c r="JI5" s="3076"/>
      <c r="JJ5" s="2566"/>
      <c r="JK5" s="2566"/>
      <c r="JL5" s="2566"/>
      <c r="JM5" s="2566"/>
      <c r="JN5" s="2566"/>
      <c r="JO5" s="2566"/>
      <c r="JP5" s="2566"/>
      <c r="JQ5" s="2566"/>
      <c r="JS5" s="2566"/>
      <c r="JT5" s="2566"/>
      <c r="JU5" s="2566"/>
      <c r="JV5" s="2566"/>
      <c r="JW5" s="2566"/>
      <c r="JX5" s="2566"/>
      <c r="JY5" s="2566"/>
      <c r="JZ5" s="2566"/>
      <c r="KA5" s="2566"/>
      <c r="KB5" s="2566"/>
      <c r="KC5" s="2566"/>
      <c r="KD5" s="2566"/>
      <c r="KE5" s="2566"/>
      <c r="KF5" s="2566"/>
      <c r="KG5" s="2566"/>
      <c r="KH5" s="2566"/>
      <c r="KI5" s="2566"/>
      <c r="KJ5" s="2566"/>
      <c r="KK5" s="2566"/>
      <c r="KL5" s="2566"/>
      <c r="KM5" s="2566"/>
      <c r="KN5" s="2566"/>
      <c r="KO5" s="2566"/>
    </row>
    <row r="6" spans="1:301" ht="4.5" hidden="1" customHeight="1" thickBot="1">
      <c r="A6" s="2566"/>
      <c r="B6" s="2566"/>
      <c r="C6" s="3077"/>
      <c r="D6" s="3078"/>
      <c r="E6" s="3078"/>
      <c r="F6" s="3078"/>
      <c r="G6" s="3078"/>
      <c r="H6" s="3078"/>
      <c r="I6" s="3078"/>
      <c r="J6" s="3078"/>
      <c r="K6" s="3078"/>
      <c r="L6" s="3078"/>
      <c r="M6" s="3078"/>
      <c r="N6" s="3078"/>
      <c r="O6" s="3078"/>
      <c r="P6" s="3078"/>
      <c r="Q6" s="3078"/>
      <c r="R6" s="3078"/>
      <c r="S6" s="3078"/>
      <c r="T6" s="3078"/>
      <c r="U6" s="3078"/>
      <c r="V6" s="3078"/>
      <c r="W6" s="3078"/>
      <c r="X6" s="3078"/>
      <c r="Y6" s="3078"/>
      <c r="Z6" s="3078"/>
      <c r="AA6" s="3078"/>
      <c r="AB6" s="3078"/>
      <c r="AC6" s="3078"/>
      <c r="AD6" s="3078"/>
      <c r="AE6" s="3078"/>
      <c r="AF6" s="3078"/>
      <c r="AG6" s="3078"/>
      <c r="AH6" s="3078"/>
      <c r="AI6" s="3078"/>
      <c r="AJ6" s="3078"/>
      <c r="AK6" s="3078"/>
      <c r="AL6" s="3078"/>
      <c r="AM6" s="3078"/>
      <c r="AN6" s="3078"/>
      <c r="AO6" s="3078"/>
      <c r="AP6" s="3078"/>
      <c r="AQ6" s="3078"/>
      <c r="AR6" s="3078"/>
      <c r="AS6" s="3078"/>
      <c r="AT6" s="3078"/>
      <c r="AU6" s="3078"/>
      <c r="AV6" s="3078"/>
      <c r="AW6" s="3078"/>
      <c r="AX6" s="3078"/>
      <c r="AY6" s="3078"/>
      <c r="AZ6" s="3078"/>
      <c r="BA6" s="3078"/>
      <c r="BB6" s="3078"/>
      <c r="BC6" s="3078"/>
      <c r="BD6" s="3078"/>
      <c r="BE6" s="3078"/>
      <c r="BF6" s="3078"/>
      <c r="BG6" s="3078"/>
      <c r="BH6" s="3078"/>
      <c r="BI6" s="3078"/>
      <c r="BJ6" s="3078"/>
      <c r="BK6" s="3078"/>
      <c r="BL6" s="3078"/>
      <c r="BM6" s="3078"/>
      <c r="BN6" s="3078"/>
      <c r="BO6" s="3078"/>
      <c r="BP6" s="3078"/>
      <c r="BQ6" s="3078"/>
      <c r="BR6" s="3078"/>
      <c r="BS6" s="3078"/>
      <c r="BT6" s="3078"/>
      <c r="BU6" s="3078"/>
      <c r="BV6" s="3078"/>
      <c r="BW6" s="3078"/>
      <c r="BX6" s="3078"/>
      <c r="BY6" s="3078"/>
      <c r="BZ6" s="3078"/>
      <c r="CA6" s="3078"/>
      <c r="CB6" s="3078"/>
      <c r="CC6" s="3078"/>
      <c r="CD6" s="3078"/>
      <c r="CE6" s="3078"/>
      <c r="CF6" s="3078"/>
      <c r="CG6" s="3078"/>
      <c r="CH6" s="3078"/>
      <c r="CI6" s="3078"/>
      <c r="CJ6" s="3078"/>
      <c r="CK6" s="3078"/>
      <c r="CL6" s="3078"/>
      <c r="CM6" s="3078"/>
      <c r="CN6" s="3078"/>
      <c r="CO6" s="3078"/>
      <c r="CP6" s="3078"/>
      <c r="CQ6" s="3078"/>
      <c r="CR6" s="3078"/>
      <c r="CS6" s="3078"/>
      <c r="CT6" s="3078"/>
      <c r="CU6" s="3078"/>
      <c r="CV6" s="3078"/>
      <c r="CW6" s="3078"/>
      <c r="CX6" s="3078"/>
      <c r="CY6" s="3078"/>
      <c r="CZ6" s="3078"/>
      <c r="DA6" s="3078"/>
      <c r="DB6" s="3078"/>
      <c r="DC6" s="3078"/>
      <c r="DD6" s="3078"/>
      <c r="DE6" s="3078"/>
      <c r="DF6" s="3078"/>
      <c r="DG6" s="3078"/>
      <c r="DH6" s="3079"/>
      <c r="DI6" s="3079"/>
      <c r="DJ6" s="3079"/>
      <c r="DK6" s="3079"/>
      <c r="DL6" s="3079"/>
      <c r="DM6" s="3079"/>
      <c r="DN6" s="3079"/>
      <c r="DO6" s="3079"/>
      <c r="DP6" s="3079"/>
      <c r="DQ6" s="3079"/>
      <c r="DR6" s="3079"/>
      <c r="DS6" s="3079"/>
      <c r="DT6" s="3079"/>
      <c r="DU6" s="3079"/>
      <c r="DV6" s="3079"/>
      <c r="DW6" s="3079"/>
      <c r="DX6" s="3079"/>
      <c r="DY6" s="3079"/>
      <c r="DZ6" s="3079"/>
      <c r="EA6" s="3079"/>
      <c r="EB6" s="3079"/>
      <c r="EC6" s="3079"/>
      <c r="ED6" s="3079"/>
      <c r="EE6" s="3079"/>
      <c r="EF6" s="3079"/>
      <c r="EG6" s="3079"/>
      <c r="EH6" s="3079"/>
      <c r="EI6" s="3079"/>
      <c r="EJ6" s="3079"/>
      <c r="EK6" s="3079"/>
      <c r="EL6" s="3079"/>
      <c r="EM6" s="3079"/>
      <c r="EN6" s="3079"/>
      <c r="EO6" s="3079"/>
      <c r="EP6" s="3079"/>
      <c r="EQ6" s="3079"/>
      <c r="ER6" s="3079"/>
      <c r="ES6" s="3079"/>
      <c r="ET6" s="3079"/>
      <c r="EU6" s="3079"/>
      <c r="EV6" s="3079"/>
      <c r="EW6" s="3079"/>
      <c r="EX6" s="3079"/>
      <c r="EY6" s="3079"/>
      <c r="EZ6" s="3079"/>
      <c r="FA6" s="3079"/>
      <c r="FB6" s="3079"/>
      <c r="FC6" s="3079"/>
      <c r="FD6" s="449"/>
      <c r="FE6" s="449"/>
      <c r="FF6" s="449"/>
      <c r="FG6" s="449"/>
      <c r="FH6" s="449"/>
      <c r="FI6" s="449"/>
      <c r="FJ6" s="449"/>
      <c r="FK6" s="449"/>
      <c r="FL6" s="449"/>
      <c r="FM6" s="449"/>
      <c r="FN6" s="449"/>
      <c r="FO6" s="449"/>
      <c r="FP6" s="2590"/>
      <c r="FQ6" s="2591"/>
      <c r="FR6" s="2591"/>
      <c r="FS6" s="2591"/>
      <c r="FT6" s="2591"/>
      <c r="FU6" s="2591"/>
      <c r="FV6" s="2591"/>
      <c r="FW6" s="2591"/>
      <c r="FX6" s="2591"/>
      <c r="FY6" s="2591"/>
      <c r="FZ6" s="2591"/>
      <c r="GA6" s="2591"/>
      <c r="GB6" s="2592"/>
      <c r="GC6" s="2569"/>
      <c r="GD6" s="2641"/>
      <c r="GE6" s="2641"/>
      <c r="GF6" s="2641"/>
      <c r="GG6" s="2641"/>
      <c r="GH6" s="2641"/>
      <c r="GI6" s="2641"/>
      <c r="GJ6" s="2641"/>
      <c r="GK6" s="2641"/>
      <c r="GL6" s="2641"/>
      <c r="GM6" s="2641"/>
      <c r="GN6" s="2641"/>
      <c r="GO6" s="2641"/>
      <c r="GP6" s="2641"/>
      <c r="GQ6" s="2641"/>
      <c r="GR6" s="2641"/>
      <c r="GS6" s="2641"/>
      <c r="GT6" s="2641"/>
      <c r="GU6" s="2641"/>
      <c r="GV6" s="2641"/>
      <c r="GW6" s="2641"/>
      <c r="GX6" s="2641"/>
      <c r="GY6" s="2641"/>
      <c r="GZ6" s="2641"/>
      <c r="HA6" s="2641"/>
      <c r="HB6" s="2641"/>
      <c r="HC6" s="2641"/>
      <c r="HD6" s="2641"/>
      <c r="HE6" s="2641"/>
      <c r="HF6" s="2641"/>
      <c r="HG6" s="2641"/>
      <c r="HH6" s="2641"/>
      <c r="HI6" s="2641"/>
      <c r="HJ6" s="2641"/>
      <c r="HK6" s="2641"/>
      <c r="HL6" s="2641"/>
      <c r="HM6" s="2591"/>
      <c r="HN6" s="2591"/>
      <c r="HO6" s="2591"/>
      <c r="HP6" s="2591"/>
      <c r="HQ6" s="2591"/>
      <c r="HR6" s="2591"/>
      <c r="HS6" s="2591"/>
      <c r="HT6" s="2641"/>
      <c r="HU6" s="2641"/>
      <c r="HV6" s="2641"/>
      <c r="HW6" s="2641"/>
      <c r="HX6" s="2641"/>
      <c r="HY6" s="2641"/>
      <c r="HZ6" s="2641"/>
      <c r="IA6" s="2641"/>
      <c r="IB6" s="2641"/>
      <c r="IC6" s="2641"/>
      <c r="ID6" s="2641"/>
      <c r="IE6" s="2641"/>
      <c r="IF6" s="2641"/>
      <c r="IG6" s="2641"/>
      <c r="IH6" s="2641"/>
      <c r="II6" s="2641"/>
      <c r="IJ6" s="2641"/>
      <c r="IK6" s="2642"/>
      <c r="IL6" s="3080"/>
      <c r="IM6" s="3080"/>
      <c r="IN6" s="3080"/>
      <c r="IO6" s="3080"/>
      <c r="IP6" s="3080"/>
      <c r="IQ6" s="3080"/>
      <c r="IR6" s="3080"/>
      <c r="IS6" s="3080"/>
      <c r="IT6" s="3080"/>
      <c r="IU6" s="3081"/>
      <c r="IV6" s="3082"/>
      <c r="IW6" s="3082"/>
      <c r="IX6" s="3082"/>
      <c r="IY6" s="3083"/>
      <c r="IZ6" s="3084"/>
      <c r="JA6" s="3578"/>
      <c r="JC6" s="3082"/>
      <c r="JD6" s="2566"/>
      <c r="JE6" s="2566"/>
      <c r="JF6" s="2566"/>
      <c r="JG6" s="2566"/>
      <c r="JH6" s="2566"/>
      <c r="JI6" s="3076"/>
      <c r="JJ6" s="2566"/>
      <c r="JK6" s="2566"/>
      <c r="JL6" s="2566"/>
      <c r="JM6" s="2566"/>
      <c r="JN6" s="2566"/>
      <c r="JO6" s="2566"/>
      <c r="JP6" s="2566"/>
      <c r="JQ6" s="2566"/>
      <c r="JS6" s="2566"/>
      <c r="JT6" s="2566"/>
      <c r="JU6" s="2566"/>
      <c r="JV6" s="2566"/>
      <c r="JW6" s="2566"/>
      <c r="JX6" s="2566"/>
      <c r="JY6" s="2566"/>
      <c r="JZ6" s="2566"/>
      <c r="KA6" s="2566"/>
      <c r="KB6" s="2566"/>
      <c r="KC6" s="2566"/>
      <c r="KD6" s="2566"/>
      <c r="KE6" s="2566"/>
      <c r="KF6" s="2566"/>
      <c r="KG6" s="2566"/>
      <c r="KH6" s="2566"/>
      <c r="KI6" s="2566"/>
      <c r="KJ6" s="2566"/>
      <c r="KK6" s="2566"/>
      <c r="KL6" s="2566"/>
      <c r="KM6" s="2566"/>
      <c r="KN6" s="2566"/>
      <c r="KO6" s="2566"/>
    </row>
    <row r="7" spans="1:301" ht="18" hidden="1" customHeight="1">
      <c r="A7" s="2566"/>
      <c r="B7" s="2566"/>
      <c r="C7" s="3085" t="s">
        <v>451</v>
      </c>
      <c r="D7" s="5488">
        <v>2007</v>
      </c>
      <c r="E7" s="5488"/>
      <c r="F7" s="5488"/>
      <c r="G7" s="5488"/>
      <c r="H7" s="5488"/>
      <c r="I7" s="5488"/>
      <c r="J7" s="5488"/>
      <c r="K7" s="5488"/>
      <c r="L7" s="5488"/>
      <c r="M7" s="5488"/>
      <c r="N7" s="5488"/>
      <c r="O7" s="5489"/>
      <c r="P7" s="5490">
        <v>2008</v>
      </c>
      <c r="Q7" s="5491"/>
      <c r="R7" s="5491"/>
      <c r="S7" s="5491"/>
      <c r="T7" s="5491"/>
      <c r="U7" s="5491"/>
      <c r="V7" s="5491"/>
      <c r="W7" s="5491"/>
      <c r="X7" s="5491"/>
      <c r="Y7" s="5491"/>
      <c r="Z7" s="5491"/>
      <c r="AA7" s="5491"/>
      <c r="AB7" s="5514">
        <v>2009</v>
      </c>
      <c r="AC7" s="5515"/>
      <c r="AD7" s="5515"/>
      <c r="AE7" s="5515"/>
      <c r="AF7" s="5515"/>
      <c r="AG7" s="5515"/>
      <c r="AH7" s="5515"/>
      <c r="AI7" s="5515"/>
      <c r="AJ7" s="5515"/>
      <c r="AK7" s="5515"/>
      <c r="AL7" s="5515"/>
      <c r="AM7" s="5516"/>
      <c r="AN7" s="5495">
        <v>2010</v>
      </c>
      <c r="AO7" s="5496"/>
      <c r="AP7" s="5496"/>
      <c r="AQ7" s="5496"/>
      <c r="AR7" s="5496"/>
      <c r="AS7" s="5496"/>
      <c r="AT7" s="5496"/>
      <c r="AU7" s="5496"/>
      <c r="AV7" s="5496"/>
      <c r="AW7" s="5496"/>
      <c r="AX7" s="5496"/>
      <c r="AY7" s="5496"/>
      <c r="AZ7" s="5497">
        <v>2011</v>
      </c>
      <c r="BA7" s="5498"/>
      <c r="BB7" s="5498"/>
      <c r="BC7" s="5498"/>
      <c r="BD7" s="5498"/>
      <c r="BE7" s="5498"/>
      <c r="BF7" s="5498"/>
      <c r="BG7" s="5498"/>
      <c r="BH7" s="5498"/>
      <c r="BI7" s="5498"/>
      <c r="BJ7" s="5498"/>
      <c r="BK7" s="5499"/>
      <c r="BL7" s="5500">
        <v>2012</v>
      </c>
      <c r="BM7" s="5501"/>
      <c r="BN7" s="5501"/>
      <c r="BO7" s="3604"/>
      <c r="BP7" s="3604"/>
      <c r="BQ7" s="3604"/>
      <c r="BR7" s="3604"/>
      <c r="BS7" s="3604"/>
      <c r="BT7" s="3086"/>
      <c r="BU7" s="3087"/>
      <c r="BV7" s="3087"/>
      <c r="BW7" s="3087"/>
      <c r="BX7" s="3088">
        <v>2013</v>
      </c>
      <c r="BY7" s="3089"/>
      <c r="BZ7" s="3089"/>
      <c r="CA7" s="3089"/>
      <c r="CB7" s="3089"/>
      <c r="CC7" s="3089"/>
      <c r="CD7" s="3089"/>
      <c r="CE7" s="3089"/>
      <c r="CF7" s="3089"/>
      <c r="CG7" s="3089"/>
      <c r="CH7" s="3089"/>
      <c r="CI7" s="3089"/>
      <c r="CJ7" s="3090">
        <v>2014</v>
      </c>
      <c r="CK7" s="3091"/>
      <c r="CL7" s="3091"/>
      <c r="CM7" s="3091"/>
      <c r="CN7" s="3091"/>
      <c r="CO7" s="3091"/>
      <c r="CP7" s="3091"/>
      <c r="CQ7" s="3091"/>
      <c r="CR7" s="3091"/>
      <c r="CS7" s="3091"/>
      <c r="CT7" s="3091"/>
      <c r="CU7" s="3092"/>
      <c r="CV7" s="3093">
        <v>2015</v>
      </c>
      <c r="CW7" s="3094"/>
      <c r="CX7" s="3094"/>
      <c r="CY7" s="3094"/>
      <c r="CZ7" s="3094"/>
      <c r="DA7" s="3094"/>
      <c r="DB7" s="3094"/>
      <c r="DC7" s="3094"/>
      <c r="DD7" s="3094"/>
      <c r="DE7" s="3094"/>
      <c r="DF7" s="3095"/>
      <c r="DG7" s="3095"/>
      <c r="DH7" s="5517">
        <v>2016</v>
      </c>
      <c r="DI7" s="5518"/>
      <c r="DJ7" s="5518"/>
      <c r="DK7" s="5518"/>
      <c r="DL7" s="5518"/>
      <c r="DM7" s="5518"/>
      <c r="DN7" s="5518"/>
      <c r="DO7" s="5518"/>
      <c r="DP7" s="5518"/>
      <c r="DQ7" s="5518"/>
      <c r="DR7" s="5518"/>
      <c r="DS7" s="5519"/>
      <c r="DT7" s="3096">
        <v>2017</v>
      </c>
      <c r="DU7" s="3096"/>
      <c r="DV7" s="3096"/>
      <c r="DW7" s="3096"/>
      <c r="DX7" s="3096"/>
      <c r="DY7" s="3096"/>
      <c r="DZ7" s="3097"/>
      <c r="EA7" s="3097"/>
      <c r="EB7" s="3097"/>
      <c r="EC7" s="3097"/>
      <c r="ED7" s="3097"/>
      <c r="EE7" s="3097"/>
      <c r="EF7" s="3096">
        <v>2017</v>
      </c>
      <c r="EG7" s="3096"/>
      <c r="EH7" s="3096"/>
      <c r="EI7" s="3096"/>
      <c r="EJ7" s="3096"/>
      <c r="EK7" s="3096"/>
      <c r="EL7" s="3097"/>
      <c r="EM7" s="3097"/>
      <c r="EN7" s="3097"/>
      <c r="EO7" s="3097"/>
      <c r="EP7" s="3097"/>
      <c r="EQ7" s="3097"/>
      <c r="ER7" s="3096">
        <v>2017</v>
      </c>
      <c r="ES7" s="3096"/>
      <c r="ET7" s="3096"/>
      <c r="EU7" s="3096"/>
      <c r="EV7" s="3096"/>
      <c r="EW7" s="3096"/>
      <c r="EX7" s="3097"/>
      <c r="EY7" s="3097"/>
      <c r="EZ7" s="3097"/>
      <c r="FA7" s="3097"/>
      <c r="FB7" s="3097"/>
      <c r="FC7" s="3097"/>
      <c r="FD7" s="2591"/>
      <c r="FE7" s="2591"/>
      <c r="FF7" s="2591"/>
      <c r="FG7" s="2591"/>
      <c r="FH7" s="2591"/>
      <c r="FI7" s="2591"/>
      <c r="FJ7" s="2591"/>
      <c r="FK7" s="2591"/>
      <c r="FL7" s="2591"/>
      <c r="FM7" s="2591"/>
      <c r="FN7" s="2591"/>
      <c r="FO7" s="2591"/>
      <c r="FP7" s="2590"/>
      <c r="FQ7" s="2591"/>
      <c r="FR7" s="2591"/>
      <c r="FS7" s="2591"/>
      <c r="FT7" s="2591"/>
      <c r="FU7" s="2591"/>
      <c r="FV7" s="2591"/>
      <c r="FW7" s="2591"/>
      <c r="FX7" s="2591"/>
      <c r="FY7" s="2591"/>
      <c r="FZ7" s="2591"/>
      <c r="GA7" s="2591"/>
      <c r="GB7" s="2592"/>
      <c r="GC7" s="2569"/>
      <c r="GD7" s="5505">
        <v>2007</v>
      </c>
      <c r="GE7" s="5506"/>
      <c r="GF7" s="5506"/>
      <c r="GG7" s="5506"/>
      <c r="GH7" s="5507">
        <v>2008</v>
      </c>
      <c r="GI7" s="5508"/>
      <c r="GJ7" s="5508"/>
      <c r="GK7" s="5509"/>
      <c r="GL7" s="5478">
        <v>2009</v>
      </c>
      <c r="GM7" s="5479"/>
      <c r="GN7" s="5479"/>
      <c r="GO7" s="5479"/>
      <c r="GP7" s="5480">
        <v>2010</v>
      </c>
      <c r="GQ7" s="5481"/>
      <c r="GR7" s="5481"/>
      <c r="GS7" s="5482"/>
      <c r="GT7" s="5483">
        <v>2011</v>
      </c>
      <c r="GU7" s="5484"/>
      <c r="GV7" s="5484"/>
      <c r="GW7" s="5485"/>
      <c r="GX7" s="5510">
        <v>2012</v>
      </c>
      <c r="GY7" s="5486"/>
      <c r="GZ7" s="5486"/>
      <c r="HA7" s="5486"/>
      <c r="HB7" s="2643">
        <v>2013</v>
      </c>
      <c r="HC7" s="2643"/>
      <c r="HD7" s="2643"/>
      <c r="HE7" s="2643"/>
      <c r="HF7" s="2644">
        <v>2014</v>
      </c>
      <c r="HG7" s="2644"/>
      <c r="HH7" s="2644"/>
      <c r="HI7" s="2644"/>
      <c r="HJ7" s="2645">
        <v>2015</v>
      </c>
      <c r="HK7" s="2645"/>
      <c r="HL7" s="2645"/>
      <c r="HM7" s="2646">
        <v>2016</v>
      </c>
      <c r="HN7" s="2646"/>
      <c r="HO7" s="2646"/>
      <c r="HP7" s="2646"/>
      <c r="HQ7" s="2647">
        <v>2017</v>
      </c>
      <c r="HR7" s="2647"/>
      <c r="HS7" s="2570"/>
      <c r="HT7" s="2569"/>
      <c r="HU7" s="2569"/>
      <c r="HV7" s="2643"/>
      <c r="HW7" s="2643"/>
      <c r="HX7" s="2643"/>
      <c r="HY7" s="2569"/>
      <c r="HZ7" s="2643"/>
      <c r="IA7" s="2643"/>
      <c r="IB7" s="2643"/>
      <c r="IC7" s="2643"/>
      <c r="ID7" s="2643"/>
      <c r="IE7" s="2643"/>
      <c r="IF7" s="2643"/>
      <c r="IG7" s="2643"/>
      <c r="IH7" s="2643"/>
      <c r="II7" s="2643"/>
      <c r="IJ7" s="2643"/>
      <c r="IK7" s="2648">
        <v>2007</v>
      </c>
      <c r="IL7" s="3098">
        <v>2008</v>
      </c>
      <c r="IM7" s="3098">
        <v>2009</v>
      </c>
      <c r="IN7" s="3098">
        <v>2010</v>
      </c>
      <c r="IO7" s="3098">
        <v>2011</v>
      </c>
      <c r="IP7" s="3098">
        <v>2012</v>
      </c>
      <c r="IQ7" s="3098">
        <v>2013</v>
      </c>
      <c r="IR7" s="3098">
        <v>2014</v>
      </c>
      <c r="IS7" s="5487" t="s">
        <v>452</v>
      </c>
      <c r="IT7" s="5487">
        <v>2016</v>
      </c>
      <c r="IU7" s="5475" t="s">
        <v>747</v>
      </c>
      <c r="IV7" s="3099"/>
      <c r="IW7" s="3099"/>
      <c r="IX7" s="3099"/>
      <c r="IY7" s="3100"/>
      <c r="IZ7" s="3101"/>
      <c r="JA7" s="3578"/>
      <c r="JC7" s="3099"/>
      <c r="JD7" s="2566"/>
      <c r="JE7" s="2566"/>
      <c r="JF7" s="2566"/>
      <c r="JG7" s="2566"/>
      <c r="JH7" s="2566"/>
      <c r="JI7" s="3076"/>
      <c r="JJ7" s="2566"/>
      <c r="JK7" s="2566"/>
      <c r="JL7" s="2566"/>
      <c r="JM7" s="2566"/>
      <c r="JN7" s="2566"/>
      <c r="JO7" s="2566"/>
      <c r="JP7" s="2566"/>
      <c r="JQ7" s="2566"/>
      <c r="JS7" s="2566"/>
      <c r="JT7" s="2566"/>
      <c r="JU7" s="2566"/>
      <c r="JV7" s="2566"/>
      <c r="JW7" s="2566"/>
      <c r="JX7" s="2566"/>
      <c r="JY7" s="2566"/>
      <c r="JZ7" s="2566"/>
      <c r="KA7" s="2566"/>
      <c r="KB7" s="2566"/>
      <c r="KC7" s="2566"/>
      <c r="KD7" s="2566"/>
      <c r="KE7" s="2566"/>
      <c r="KF7" s="2566"/>
      <c r="KG7" s="2566"/>
      <c r="KH7" s="2566"/>
      <c r="KI7" s="2566"/>
      <c r="KJ7" s="2566"/>
      <c r="KK7" s="2566"/>
      <c r="KL7" s="2566"/>
      <c r="KM7" s="2566"/>
      <c r="KN7" s="2566"/>
      <c r="KO7" s="2566"/>
    </row>
    <row r="8" spans="1:301" ht="6.75" hidden="1" customHeight="1">
      <c r="A8" s="2566"/>
      <c r="B8" s="2566"/>
      <c r="C8" s="3102"/>
      <c r="D8" s="3095"/>
      <c r="E8" s="3095"/>
      <c r="F8" s="3095"/>
      <c r="G8" s="3095"/>
      <c r="H8" s="3095"/>
      <c r="I8" s="3095"/>
      <c r="J8" s="3095"/>
      <c r="K8" s="3095"/>
      <c r="L8" s="3095"/>
      <c r="M8" s="3095"/>
      <c r="N8" s="3095"/>
      <c r="O8" s="3095"/>
      <c r="P8" s="3103"/>
      <c r="Q8" s="3095"/>
      <c r="R8" s="3095"/>
      <c r="S8" s="3095"/>
      <c r="T8" s="3095"/>
      <c r="U8" s="3095"/>
      <c r="V8" s="3095"/>
      <c r="W8" s="3095"/>
      <c r="X8" s="3095"/>
      <c r="Y8" s="3095"/>
      <c r="Z8" s="3095"/>
      <c r="AA8" s="3095"/>
      <c r="AB8" s="3095"/>
      <c r="AC8" s="3095"/>
      <c r="AD8" s="3095"/>
      <c r="AE8" s="3095"/>
      <c r="AF8" s="3095"/>
      <c r="AG8" s="3095"/>
      <c r="AH8" s="3095"/>
      <c r="AI8" s="3095"/>
      <c r="AJ8" s="3095"/>
      <c r="AK8" s="3095"/>
      <c r="AL8" s="3095"/>
      <c r="AM8" s="3095"/>
      <c r="AN8" s="3095"/>
      <c r="AO8" s="3095"/>
      <c r="AP8" s="3095"/>
      <c r="AQ8" s="3095"/>
      <c r="AR8" s="3095"/>
      <c r="AS8" s="3095"/>
      <c r="AT8" s="3095"/>
      <c r="AU8" s="3095"/>
      <c r="AV8" s="3095"/>
      <c r="AW8" s="3095"/>
      <c r="AX8" s="3095"/>
      <c r="AY8" s="3095"/>
      <c r="AZ8" s="3104"/>
      <c r="BA8" s="3095"/>
      <c r="BB8" s="3095"/>
      <c r="BC8" s="3095"/>
      <c r="BD8" s="3095"/>
      <c r="BE8" s="3095"/>
      <c r="BF8" s="3095"/>
      <c r="BG8" s="3095"/>
      <c r="BH8" s="3095"/>
      <c r="BI8" s="3095"/>
      <c r="BJ8" s="3095"/>
      <c r="BK8" s="3105"/>
      <c r="BL8" s="3106"/>
      <c r="BM8" s="3107"/>
      <c r="BN8" s="3107"/>
      <c r="BO8" s="3107"/>
      <c r="BP8" s="3107"/>
      <c r="BQ8" s="3107"/>
      <c r="BR8" s="3107"/>
      <c r="BS8" s="3107"/>
      <c r="BT8" s="3107"/>
      <c r="BU8" s="3107"/>
      <c r="BV8" s="3107"/>
      <c r="BW8" s="3107"/>
      <c r="BX8" s="3108"/>
      <c r="BY8" s="3107"/>
      <c r="BZ8" s="3107"/>
      <c r="CA8" s="3107"/>
      <c r="CB8" s="3107"/>
      <c r="CC8" s="3107"/>
      <c r="CD8" s="3107"/>
      <c r="CE8" s="3107"/>
      <c r="CF8" s="3107"/>
      <c r="CG8" s="3107"/>
      <c r="CH8" s="3107"/>
      <c r="CI8" s="3107"/>
      <c r="CJ8" s="3109"/>
      <c r="CK8" s="3110"/>
      <c r="CL8" s="3110"/>
      <c r="CM8" s="3110"/>
      <c r="CN8" s="3110"/>
      <c r="CO8" s="3110"/>
      <c r="CP8" s="3110"/>
      <c r="CQ8" s="3110"/>
      <c r="CR8" s="3110"/>
      <c r="CS8" s="3110"/>
      <c r="CT8" s="3110"/>
      <c r="CU8" s="3111"/>
      <c r="CV8" s="3112"/>
      <c r="CW8" s="3113"/>
      <c r="CX8" s="3113"/>
      <c r="CY8" s="3113"/>
      <c r="CZ8" s="3113"/>
      <c r="DA8" s="3113"/>
      <c r="DB8" s="3113"/>
      <c r="DC8" s="3113"/>
      <c r="DD8" s="3113"/>
      <c r="DE8" s="3113"/>
      <c r="DF8" s="3113"/>
      <c r="DG8" s="3113"/>
      <c r="DH8" s="3114"/>
      <c r="DI8" s="3114"/>
      <c r="DJ8" s="3114"/>
      <c r="DK8" s="3114"/>
      <c r="DL8" s="3114"/>
      <c r="DM8" s="3114"/>
      <c r="DN8" s="3114"/>
      <c r="DO8" s="3114"/>
      <c r="DP8" s="3114"/>
      <c r="DQ8" s="3114"/>
      <c r="DR8" s="3114"/>
      <c r="DS8" s="3114"/>
      <c r="DT8" s="3115"/>
      <c r="DU8" s="3115"/>
      <c r="DV8" s="3115"/>
      <c r="DW8" s="3115"/>
      <c r="DX8" s="3115"/>
      <c r="DY8" s="3115"/>
      <c r="DZ8" s="3116"/>
      <c r="EA8" s="3116"/>
      <c r="EB8" s="3116"/>
      <c r="EC8" s="3116"/>
      <c r="ED8" s="3116"/>
      <c r="EE8" s="3116"/>
      <c r="EF8" s="3115"/>
      <c r="EG8" s="3115"/>
      <c r="EH8" s="3115"/>
      <c r="EI8" s="3115"/>
      <c r="EJ8" s="3115"/>
      <c r="EK8" s="3115"/>
      <c r="EL8" s="3116"/>
      <c r="EM8" s="3116"/>
      <c r="EN8" s="3116"/>
      <c r="EO8" s="3116"/>
      <c r="EP8" s="3116"/>
      <c r="EQ8" s="3116"/>
      <c r="ER8" s="3115"/>
      <c r="ES8" s="3115"/>
      <c r="ET8" s="3115"/>
      <c r="EU8" s="3115"/>
      <c r="EV8" s="3115"/>
      <c r="EW8" s="3115"/>
      <c r="EX8" s="3116"/>
      <c r="EY8" s="3116"/>
      <c r="EZ8" s="3116"/>
      <c r="FA8" s="3116"/>
      <c r="FB8" s="3116"/>
      <c r="FC8" s="3116"/>
      <c r="FD8" s="2649"/>
      <c r="FE8" s="2649"/>
      <c r="FF8" s="2649"/>
      <c r="FG8" s="2649"/>
      <c r="FH8" s="2649"/>
      <c r="FI8" s="2649"/>
      <c r="FJ8" s="2649"/>
      <c r="FK8" s="2649"/>
      <c r="FL8" s="2649"/>
      <c r="FM8" s="2649"/>
      <c r="FN8" s="2649"/>
      <c r="FO8" s="2649"/>
      <c r="FP8" s="2650"/>
      <c r="FQ8" s="2649"/>
      <c r="FR8" s="2649"/>
      <c r="FS8" s="2649"/>
      <c r="FT8" s="2649"/>
      <c r="FU8" s="2649"/>
      <c r="FV8" s="2649"/>
      <c r="FW8" s="2649"/>
      <c r="FX8" s="2649"/>
      <c r="FY8" s="2649"/>
      <c r="FZ8" s="2649"/>
      <c r="GA8" s="2649"/>
      <c r="GB8" s="2592"/>
      <c r="GC8" s="2651"/>
      <c r="GD8" s="2641"/>
      <c r="GE8" s="2641"/>
      <c r="GF8" s="2641"/>
      <c r="GG8" s="2641"/>
      <c r="GH8" s="2641"/>
      <c r="GI8" s="2641"/>
      <c r="GJ8" s="2641"/>
      <c r="GK8" s="2641"/>
      <c r="GL8" s="2641"/>
      <c r="GM8" s="2641"/>
      <c r="GN8" s="2641"/>
      <c r="GO8" s="2641"/>
      <c r="GP8" s="2641"/>
      <c r="GQ8" s="2641"/>
      <c r="GR8" s="2641"/>
      <c r="GS8" s="2641"/>
      <c r="GT8" s="2652"/>
      <c r="GU8" s="2652"/>
      <c r="GV8" s="2652"/>
      <c r="GW8" s="2652"/>
      <c r="GX8" s="2641"/>
      <c r="GY8" s="2641"/>
      <c r="GZ8" s="2641"/>
      <c r="HA8" s="2641"/>
      <c r="HB8" s="2641"/>
      <c r="HC8" s="2641"/>
      <c r="HD8" s="2641"/>
      <c r="HE8" s="2641"/>
      <c r="HF8" s="2653"/>
      <c r="HG8" s="2653"/>
      <c r="HH8" s="2653"/>
      <c r="HI8" s="2653"/>
      <c r="HJ8" s="2653"/>
      <c r="HK8" s="2653"/>
      <c r="HL8" s="2653"/>
      <c r="HM8" s="2591"/>
      <c r="HN8" s="2591"/>
      <c r="HO8" s="2591"/>
      <c r="HP8" s="2591"/>
      <c r="HQ8" s="2591"/>
      <c r="HR8" s="2591"/>
      <c r="HS8" s="2591"/>
      <c r="HT8" s="2641"/>
      <c r="HU8" s="2641"/>
      <c r="HV8" s="2641"/>
      <c r="HW8" s="2641"/>
      <c r="HX8" s="2641"/>
      <c r="HY8" s="2641"/>
      <c r="HZ8" s="2641"/>
      <c r="IA8" s="2641"/>
      <c r="IB8" s="2641"/>
      <c r="IC8" s="2641"/>
      <c r="ID8" s="2641"/>
      <c r="IE8" s="2641"/>
      <c r="IF8" s="2641"/>
      <c r="IG8" s="2641"/>
      <c r="IH8" s="2641"/>
      <c r="II8" s="2641"/>
      <c r="IJ8" s="2641"/>
      <c r="IK8" s="2654"/>
      <c r="IL8" s="3117"/>
      <c r="IM8" s="3117"/>
      <c r="IN8" s="3117"/>
      <c r="IO8" s="3117"/>
      <c r="IP8" s="3117"/>
      <c r="IQ8" s="3117"/>
      <c r="IR8" s="3117"/>
      <c r="IS8" s="5487"/>
      <c r="IT8" s="5487"/>
      <c r="IU8" s="5476"/>
      <c r="IV8" s="3099"/>
      <c r="IW8" s="3099"/>
      <c r="IX8" s="3099"/>
      <c r="IY8" s="3100"/>
      <c r="IZ8" s="3101"/>
      <c r="JA8" s="3578"/>
      <c r="JC8" s="3099"/>
      <c r="JD8" s="2566"/>
      <c r="JE8" s="2566"/>
      <c r="JF8" s="2566"/>
      <c r="JG8" s="2566"/>
      <c r="JH8" s="2566"/>
      <c r="JI8" s="3076"/>
      <c r="JJ8" s="2566"/>
      <c r="JK8" s="2566"/>
      <c r="JL8" s="2566"/>
      <c r="JM8" s="2566"/>
      <c r="JN8" s="2566"/>
      <c r="JO8" s="2566"/>
      <c r="JP8" s="2566"/>
      <c r="JQ8" s="2566"/>
      <c r="JS8" s="2566"/>
      <c r="JT8" s="2566"/>
      <c r="JU8" s="2566"/>
      <c r="JV8" s="2566"/>
      <c r="JW8" s="2566"/>
      <c r="JX8" s="2566"/>
      <c r="JY8" s="2566"/>
      <c r="JZ8" s="2566"/>
      <c r="KA8" s="2566"/>
      <c r="KB8" s="2566"/>
      <c r="KC8" s="2566"/>
      <c r="KD8" s="2566"/>
      <c r="KE8" s="2566"/>
      <c r="KF8" s="2566"/>
      <c r="KG8" s="2566"/>
      <c r="KH8" s="2566"/>
      <c r="KI8" s="2566"/>
      <c r="KJ8" s="2566"/>
      <c r="KK8" s="2566"/>
      <c r="KL8" s="2566"/>
      <c r="KM8" s="2566"/>
      <c r="KN8" s="2566"/>
      <c r="KO8" s="2566"/>
    </row>
    <row r="9" spans="1:301" ht="21" hidden="1" customHeight="1">
      <c r="A9" s="2566"/>
      <c r="B9" s="2566"/>
      <c r="C9" s="3102"/>
      <c r="D9" s="3118" t="s">
        <v>36</v>
      </c>
      <c r="E9" s="3119" t="s">
        <v>37</v>
      </c>
      <c r="F9" s="3119" t="s">
        <v>38</v>
      </c>
      <c r="G9" s="3119" t="s">
        <v>39</v>
      </c>
      <c r="H9" s="3119" t="s">
        <v>40</v>
      </c>
      <c r="I9" s="3119" t="s">
        <v>41</v>
      </c>
      <c r="J9" s="3119" t="s">
        <v>42</v>
      </c>
      <c r="K9" s="3119" t="s">
        <v>43</v>
      </c>
      <c r="L9" s="3119" t="s">
        <v>44</v>
      </c>
      <c r="M9" s="3119" t="s">
        <v>45</v>
      </c>
      <c r="N9" s="3119" t="s">
        <v>46</v>
      </c>
      <c r="O9" s="3120" t="s">
        <v>47</v>
      </c>
      <c r="P9" s="3121" t="s">
        <v>36</v>
      </c>
      <c r="Q9" s="3119" t="s">
        <v>37</v>
      </c>
      <c r="R9" s="3119" t="s">
        <v>38</v>
      </c>
      <c r="S9" s="3119" t="s">
        <v>39</v>
      </c>
      <c r="T9" s="3119" t="s">
        <v>40</v>
      </c>
      <c r="U9" s="3119" t="s">
        <v>41</v>
      </c>
      <c r="V9" s="3119" t="s">
        <v>42</v>
      </c>
      <c r="W9" s="3119" t="s">
        <v>43</v>
      </c>
      <c r="X9" s="3119" t="s">
        <v>44</v>
      </c>
      <c r="Y9" s="3119" t="s">
        <v>45</v>
      </c>
      <c r="Z9" s="3119" t="s">
        <v>46</v>
      </c>
      <c r="AA9" s="3120" t="s">
        <v>47</v>
      </c>
      <c r="AB9" s="3122" t="s">
        <v>36</v>
      </c>
      <c r="AC9" s="3123" t="s">
        <v>37</v>
      </c>
      <c r="AD9" s="3123" t="s">
        <v>38</v>
      </c>
      <c r="AE9" s="3123" t="s">
        <v>39</v>
      </c>
      <c r="AF9" s="3123" t="s">
        <v>40</v>
      </c>
      <c r="AG9" s="3123" t="s">
        <v>41</v>
      </c>
      <c r="AH9" s="3123" t="s">
        <v>42</v>
      </c>
      <c r="AI9" s="3123" t="s">
        <v>43</v>
      </c>
      <c r="AJ9" s="3123" t="s">
        <v>44</v>
      </c>
      <c r="AK9" s="3123" t="s">
        <v>45</v>
      </c>
      <c r="AL9" s="3123" t="s">
        <v>46</v>
      </c>
      <c r="AM9" s="3123" t="s">
        <v>47</v>
      </c>
      <c r="AN9" s="3123" t="s">
        <v>36</v>
      </c>
      <c r="AO9" s="3123" t="s">
        <v>37</v>
      </c>
      <c r="AP9" s="3123" t="s">
        <v>38</v>
      </c>
      <c r="AQ9" s="3123" t="s">
        <v>39</v>
      </c>
      <c r="AR9" s="3123" t="s">
        <v>40</v>
      </c>
      <c r="AS9" s="3123" t="s">
        <v>41</v>
      </c>
      <c r="AT9" s="3123" t="s">
        <v>42</v>
      </c>
      <c r="AU9" s="3123" t="s">
        <v>43</v>
      </c>
      <c r="AV9" s="3123" t="s">
        <v>44</v>
      </c>
      <c r="AW9" s="3123" t="s">
        <v>45</v>
      </c>
      <c r="AX9" s="3123" t="s">
        <v>46</v>
      </c>
      <c r="AY9" s="3124" t="s">
        <v>47</v>
      </c>
      <c r="AZ9" s="3125" t="s">
        <v>36</v>
      </c>
      <c r="BA9" s="3126" t="s">
        <v>37</v>
      </c>
      <c r="BB9" s="3126" t="s">
        <v>38</v>
      </c>
      <c r="BC9" s="3126" t="s">
        <v>39</v>
      </c>
      <c r="BD9" s="3126" t="s">
        <v>40</v>
      </c>
      <c r="BE9" s="3126" t="s">
        <v>41</v>
      </c>
      <c r="BF9" s="3126" t="s">
        <v>42</v>
      </c>
      <c r="BG9" s="3126" t="s">
        <v>43</v>
      </c>
      <c r="BH9" s="3126" t="s">
        <v>44</v>
      </c>
      <c r="BI9" s="3126" t="s">
        <v>45</v>
      </c>
      <c r="BJ9" s="3126" t="s">
        <v>46</v>
      </c>
      <c r="BK9" s="3127" t="s">
        <v>47</v>
      </c>
      <c r="BL9" s="3128" t="s">
        <v>36</v>
      </c>
      <c r="BM9" s="3129" t="s">
        <v>37</v>
      </c>
      <c r="BN9" s="3129" t="s">
        <v>38</v>
      </c>
      <c r="BO9" s="3129" t="s">
        <v>39</v>
      </c>
      <c r="BP9" s="3129" t="s">
        <v>40</v>
      </c>
      <c r="BQ9" s="3129" t="s">
        <v>41</v>
      </c>
      <c r="BR9" s="3129" t="s">
        <v>42</v>
      </c>
      <c r="BS9" s="3129" t="s">
        <v>43</v>
      </c>
      <c r="BT9" s="3130" t="s">
        <v>44</v>
      </c>
      <c r="BU9" s="3130" t="s">
        <v>45</v>
      </c>
      <c r="BV9" s="3130" t="s">
        <v>46</v>
      </c>
      <c r="BW9" s="3129" t="s">
        <v>47</v>
      </c>
      <c r="BX9" s="3131" t="s">
        <v>36</v>
      </c>
      <c r="BY9" s="3132" t="s">
        <v>37</v>
      </c>
      <c r="BZ9" s="3132" t="s">
        <v>38</v>
      </c>
      <c r="CA9" s="3132" t="s">
        <v>39</v>
      </c>
      <c r="CB9" s="3132" t="s">
        <v>40</v>
      </c>
      <c r="CC9" s="3132" t="s">
        <v>41</v>
      </c>
      <c r="CD9" s="3132" t="s">
        <v>42</v>
      </c>
      <c r="CE9" s="3132" t="s">
        <v>43</v>
      </c>
      <c r="CF9" s="3132" t="s">
        <v>44</v>
      </c>
      <c r="CG9" s="3132" t="s">
        <v>45</v>
      </c>
      <c r="CH9" s="3132" t="s">
        <v>46</v>
      </c>
      <c r="CI9" s="3132" t="s">
        <v>47</v>
      </c>
      <c r="CJ9" s="3133" t="s">
        <v>36</v>
      </c>
      <c r="CK9" s="3123" t="s">
        <v>37</v>
      </c>
      <c r="CL9" s="3123" t="s">
        <v>38</v>
      </c>
      <c r="CM9" s="3123" t="s">
        <v>39</v>
      </c>
      <c r="CN9" s="3123" t="s">
        <v>40</v>
      </c>
      <c r="CO9" s="3123" t="s">
        <v>41</v>
      </c>
      <c r="CP9" s="3123" t="s">
        <v>42</v>
      </c>
      <c r="CQ9" s="3123" t="s">
        <v>43</v>
      </c>
      <c r="CR9" s="3123" t="s">
        <v>44</v>
      </c>
      <c r="CS9" s="3123" t="s">
        <v>45</v>
      </c>
      <c r="CT9" s="3123" t="s">
        <v>46</v>
      </c>
      <c r="CU9" s="3134" t="s">
        <v>47</v>
      </c>
      <c r="CV9" s="3132" t="s">
        <v>36</v>
      </c>
      <c r="CW9" s="3132" t="s">
        <v>37</v>
      </c>
      <c r="CX9" s="3132" t="s">
        <v>38</v>
      </c>
      <c r="CY9" s="3132" t="s">
        <v>39</v>
      </c>
      <c r="CZ9" s="3132" t="s">
        <v>40</v>
      </c>
      <c r="DA9" s="3132" t="s">
        <v>41</v>
      </c>
      <c r="DB9" s="3132" t="s">
        <v>42</v>
      </c>
      <c r="DC9" s="3132" t="s">
        <v>43</v>
      </c>
      <c r="DD9" s="3132" t="s">
        <v>44</v>
      </c>
      <c r="DE9" s="3132" t="s">
        <v>45</v>
      </c>
      <c r="DF9" s="3132"/>
      <c r="DG9" s="3132"/>
      <c r="DH9" s="2526" t="s">
        <v>36</v>
      </c>
      <c r="DI9" s="2526" t="s">
        <v>37</v>
      </c>
      <c r="DJ9" s="2526" t="s">
        <v>38</v>
      </c>
      <c r="DK9" s="2526" t="s">
        <v>39</v>
      </c>
      <c r="DL9" s="2526" t="s">
        <v>40</v>
      </c>
      <c r="DM9" s="2526" t="s">
        <v>41</v>
      </c>
      <c r="DN9" s="2526" t="s">
        <v>42</v>
      </c>
      <c r="DO9" s="2526" t="s">
        <v>43</v>
      </c>
      <c r="DP9" s="2526" t="s">
        <v>183</v>
      </c>
      <c r="DQ9" s="2526" t="s">
        <v>45</v>
      </c>
      <c r="DR9" s="2526" t="s">
        <v>46</v>
      </c>
      <c r="DS9" s="2526" t="s">
        <v>47</v>
      </c>
      <c r="DT9" s="2527" t="s">
        <v>36</v>
      </c>
      <c r="DU9" s="2527" t="s">
        <v>37</v>
      </c>
      <c r="DV9" s="2527" t="s">
        <v>38</v>
      </c>
      <c r="DW9" s="2527" t="s">
        <v>39</v>
      </c>
      <c r="DX9" s="2527" t="s">
        <v>40</v>
      </c>
      <c r="DY9" s="2527" t="s">
        <v>41</v>
      </c>
      <c r="DZ9" s="2528"/>
      <c r="EA9" s="2528"/>
      <c r="EB9" s="2528"/>
      <c r="EC9" s="2528"/>
      <c r="ED9" s="2528"/>
      <c r="EE9" s="2528"/>
      <c r="EF9" s="2527" t="s">
        <v>36</v>
      </c>
      <c r="EG9" s="2527" t="s">
        <v>37</v>
      </c>
      <c r="EH9" s="2527" t="s">
        <v>38</v>
      </c>
      <c r="EI9" s="2527" t="s">
        <v>39</v>
      </c>
      <c r="EJ9" s="2527" t="s">
        <v>40</v>
      </c>
      <c r="EK9" s="2527" t="s">
        <v>41</v>
      </c>
      <c r="EL9" s="2528"/>
      <c r="EM9" s="2528"/>
      <c r="EN9" s="2528"/>
      <c r="EO9" s="2528"/>
      <c r="EP9" s="2528"/>
      <c r="EQ9" s="2528"/>
      <c r="ER9" s="2527" t="s">
        <v>36</v>
      </c>
      <c r="ES9" s="2527" t="s">
        <v>37</v>
      </c>
      <c r="ET9" s="2527" t="s">
        <v>38</v>
      </c>
      <c r="EU9" s="2527" t="s">
        <v>39</v>
      </c>
      <c r="EV9" s="2527" t="s">
        <v>40</v>
      </c>
      <c r="EW9" s="2527" t="s">
        <v>41</v>
      </c>
      <c r="EX9" s="2528"/>
      <c r="EY9" s="2528"/>
      <c r="EZ9" s="2528"/>
      <c r="FA9" s="2528"/>
      <c r="FB9" s="2528"/>
      <c r="FC9" s="2528"/>
      <c r="FD9" s="2655"/>
      <c r="FE9" s="2655"/>
      <c r="FF9" s="2655"/>
      <c r="FG9" s="2655"/>
      <c r="FH9" s="2655"/>
      <c r="FI9" s="2655"/>
      <c r="FJ9" s="2655"/>
      <c r="FK9" s="2655"/>
      <c r="FL9" s="2655"/>
      <c r="FM9" s="2655"/>
      <c r="FN9" s="2655"/>
      <c r="FO9" s="2655"/>
      <c r="FP9" s="2656"/>
      <c r="FQ9" s="2655"/>
      <c r="FR9" s="2655"/>
      <c r="FS9" s="2655"/>
      <c r="FT9" s="2655"/>
      <c r="FU9" s="2655"/>
      <c r="FV9" s="2655"/>
      <c r="FW9" s="2655"/>
      <c r="FX9" s="2655"/>
      <c r="FY9" s="2655"/>
      <c r="FZ9" s="2655"/>
      <c r="GA9" s="2655"/>
      <c r="GB9" s="2592"/>
      <c r="GC9" s="2569"/>
      <c r="GD9" s="2657" t="s">
        <v>167</v>
      </c>
      <c r="GE9" s="2658" t="s">
        <v>453</v>
      </c>
      <c r="GF9" s="2658" t="s">
        <v>454</v>
      </c>
      <c r="GG9" s="2659" t="s">
        <v>455</v>
      </c>
      <c r="GH9" s="2657" t="s">
        <v>167</v>
      </c>
      <c r="GI9" s="2658" t="s">
        <v>453</v>
      </c>
      <c r="GJ9" s="2658" t="s">
        <v>454</v>
      </c>
      <c r="GK9" s="2659" t="s">
        <v>455</v>
      </c>
      <c r="GL9" s="2660" t="s">
        <v>167</v>
      </c>
      <c r="GM9" s="2661" t="s">
        <v>453</v>
      </c>
      <c r="GN9" s="2661" t="s">
        <v>456</v>
      </c>
      <c r="GO9" s="2661" t="s">
        <v>457</v>
      </c>
      <c r="GP9" s="2662" t="s">
        <v>167</v>
      </c>
      <c r="GQ9" s="2663" t="s">
        <v>458</v>
      </c>
      <c r="GR9" s="2663" t="s">
        <v>459</v>
      </c>
      <c r="GS9" s="2664" t="s">
        <v>455</v>
      </c>
      <c r="GT9" s="2665" t="s">
        <v>167</v>
      </c>
      <c r="GU9" s="2666" t="s">
        <v>453</v>
      </c>
      <c r="GV9" s="2666" t="s">
        <v>456</v>
      </c>
      <c r="GW9" s="2667" t="s">
        <v>457</v>
      </c>
      <c r="GX9" s="2632" t="s">
        <v>167</v>
      </c>
      <c r="GY9" s="2632" t="s">
        <v>453</v>
      </c>
      <c r="GZ9" s="2632" t="s">
        <v>456</v>
      </c>
      <c r="HA9" s="2632" t="s">
        <v>457</v>
      </c>
      <c r="HB9" s="2632" t="s">
        <v>167</v>
      </c>
      <c r="HC9" s="2632" t="s">
        <v>453</v>
      </c>
      <c r="HD9" s="2632" t="s">
        <v>456</v>
      </c>
      <c r="HE9" s="2632" t="s">
        <v>457</v>
      </c>
      <c r="HF9" s="2632" t="s">
        <v>167</v>
      </c>
      <c r="HG9" s="2632" t="s">
        <v>453</v>
      </c>
      <c r="HH9" s="2632" t="s">
        <v>456</v>
      </c>
      <c r="HI9" s="2632" t="s">
        <v>457</v>
      </c>
      <c r="HJ9" s="2632" t="s">
        <v>167</v>
      </c>
      <c r="HK9" s="2632" t="s">
        <v>453</v>
      </c>
      <c r="HL9" s="2632" t="s">
        <v>456</v>
      </c>
      <c r="HM9" s="2635" t="s">
        <v>167</v>
      </c>
      <c r="HN9" s="2635" t="s">
        <v>453</v>
      </c>
      <c r="HO9" s="2635" t="s">
        <v>456</v>
      </c>
      <c r="HP9" s="2635" t="s">
        <v>457</v>
      </c>
      <c r="HQ9" s="2668" t="s">
        <v>167</v>
      </c>
      <c r="HR9" s="2635" t="s">
        <v>453</v>
      </c>
      <c r="HS9" s="2570"/>
      <c r="HT9" s="2569"/>
      <c r="HU9" s="2632"/>
      <c r="HV9" s="2632"/>
      <c r="HW9" s="2632"/>
      <c r="HX9" s="2632"/>
      <c r="HY9" s="2632"/>
      <c r="HZ9" s="2632"/>
      <c r="IA9" s="2632"/>
      <c r="IB9" s="2632"/>
      <c r="IC9" s="2632"/>
      <c r="ID9" s="2632"/>
      <c r="IE9" s="2632"/>
      <c r="IF9" s="2632"/>
      <c r="IG9" s="2632"/>
      <c r="IH9" s="2632"/>
      <c r="II9" s="2632"/>
      <c r="IJ9" s="2632"/>
      <c r="IK9" s="2654" t="s">
        <v>48</v>
      </c>
      <c r="IL9" s="3135" t="s">
        <v>48</v>
      </c>
      <c r="IM9" s="3135" t="s">
        <v>48</v>
      </c>
      <c r="IN9" s="3135" t="s">
        <v>48</v>
      </c>
      <c r="IO9" s="3135" t="s">
        <v>48</v>
      </c>
      <c r="IP9" s="3135" t="s">
        <v>48</v>
      </c>
      <c r="IQ9" s="3135" t="s">
        <v>48</v>
      </c>
      <c r="IR9" s="3135" t="s">
        <v>48</v>
      </c>
      <c r="IS9" s="5487"/>
      <c r="IT9" s="5487" t="s">
        <v>48</v>
      </c>
      <c r="IU9" s="5477"/>
      <c r="IV9" s="3099"/>
      <c r="IW9" s="3099"/>
      <c r="IX9" s="3099"/>
      <c r="IY9" s="3100"/>
      <c r="IZ9" s="3101"/>
      <c r="JA9" s="3578"/>
      <c r="JC9" s="3099"/>
      <c r="JD9" s="2566"/>
      <c r="JE9" s="2566"/>
      <c r="JF9" s="2566"/>
      <c r="JG9" s="2566"/>
      <c r="JH9" s="2566"/>
      <c r="JI9" s="3076"/>
      <c r="JJ9" s="2566"/>
      <c r="JK9" s="2566"/>
      <c r="JL9" s="2566"/>
      <c r="JM9" s="2566"/>
      <c r="JN9" s="2566"/>
      <c r="JO9" s="2566"/>
      <c r="JP9" s="2566"/>
      <c r="JQ9" s="2566"/>
      <c r="JS9" s="2566"/>
      <c r="JT9" s="2566"/>
      <c r="JU9" s="2566"/>
      <c r="JV9" s="2566"/>
      <c r="JW9" s="2566"/>
      <c r="JX9" s="2566"/>
      <c r="JY9" s="2566"/>
      <c r="JZ9" s="2566"/>
      <c r="KA9" s="2566"/>
      <c r="KB9" s="2566"/>
      <c r="KC9" s="2566"/>
      <c r="KD9" s="2566"/>
      <c r="KE9" s="2566"/>
      <c r="KF9" s="2566"/>
      <c r="KG9" s="2566"/>
      <c r="KH9" s="2566"/>
      <c r="KI9" s="2566"/>
      <c r="KJ9" s="2566"/>
      <c r="KK9" s="2566"/>
      <c r="KL9" s="2566"/>
      <c r="KM9" s="2566"/>
      <c r="KN9" s="2566"/>
      <c r="KO9" s="2566"/>
    </row>
    <row r="10" spans="1:301" ht="21.9" hidden="1" customHeight="1">
      <c r="A10" s="2566"/>
      <c r="B10" s="3045"/>
      <c r="C10" s="3136" t="s">
        <v>460</v>
      </c>
      <c r="D10" s="3137">
        <v>4125</v>
      </c>
      <c r="E10" s="3138">
        <v>5109</v>
      </c>
      <c r="F10" s="3138">
        <v>3995</v>
      </c>
      <c r="G10" s="3138">
        <v>3559</v>
      </c>
      <c r="H10" s="3138">
        <v>4084</v>
      </c>
      <c r="I10" s="3138">
        <v>7256</v>
      </c>
      <c r="J10" s="3138">
        <v>7516</v>
      </c>
      <c r="K10" s="3138">
        <v>5818</v>
      </c>
      <c r="L10" s="3138">
        <v>4173</v>
      </c>
      <c r="M10" s="3138">
        <v>3257</v>
      </c>
      <c r="N10" s="3138">
        <v>4570</v>
      </c>
      <c r="O10" s="3139">
        <v>5712</v>
      </c>
      <c r="P10" s="3140">
        <v>3653</v>
      </c>
      <c r="Q10" s="3141">
        <v>4175</v>
      </c>
      <c r="R10" s="3141">
        <v>2857</v>
      </c>
      <c r="S10" s="3141">
        <v>1942</v>
      </c>
      <c r="T10" s="3141">
        <v>2424</v>
      </c>
      <c r="U10" s="3141">
        <v>3478</v>
      </c>
      <c r="V10" s="3141">
        <v>2812</v>
      </c>
      <c r="W10" s="3141">
        <v>2074</v>
      </c>
      <c r="X10" s="3141">
        <v>1182</v>
      </c>
      <c r="Y10" s="3141">
        <v>1427</v>
      </c>
      <c r="Z10" s="3141">
        <v>1712</v>
      </c>
      <c r="AA10" s="3142">
        <v>2004</v>
      </c>
      <c r="AB10" s="3143">
        <v>1619</v>
      </c>
      <c r="AC10" s="3144">
        <v>2092</v>
      </c>
      <c r="AD10" s="3144">
        <v>1575</v>
      </c>
      <c r="AE10" s="3144">
        <v>1177</v>
      </c>
      <c r="AF10" s="3144">
        <v>2237</v>
      </c>
      <c r="AG10" s="3144">
        <v>3296</v>
      </c>
      <c r="AH10" s="3144">
        <v>3158</v>
      </c>
      <c r="AI10" s="3144">
        <v>4901</v>
      </c>
      <c r="AJ10" s="3144">
        <v>3664</v>
      </c>
      <c r="AK10" s="3144">
        <v>3532</v>
      </c>
      <c r="AL10" s="3144">
        <v>4094</v>
      </c>
      <c r="AM10" s="3144">
        <v>5688</v>
      </c>
      <c r="AN10" s="3145">
        <v>4126</v>
      </c>
      <c r="AO10" s="3145">
        <v>4096</v>
      </c>
      <c r="AP10" s="3145">
        <v>3069</v>
      </c>
      <c r="AQ10" s="3145">
        <v>2441</v>
      </c>
      <c r="AR10" s="3145">
        <v>3614</v>
      </c>
      <c r="AS10" s="3145">
        <v>4973</v>
      </c>
      <c r="AT10" s="3145">
        <v>3726</v>
      </c>
      <c r="AU10" s="3145">
        <v>4284</v>
      </c>
      <c r="AV10" s="3145">
        <v>4206</v>
      </c>
      <c r="AW10" s="3145">
        <v>3205</v>
      </c>
      <c r="AX10" s="3145">
        <v>3757</v>
      </c>
      <c r="AY10" s="3146">
        <v>4309</v>
      </c>
      <c r="AZ10" s="3147">
        <v>3744</v>
      </c>
      <c r="BA10" s="3148">
        <v>4035</v>
      </c>
      <c r="BB10" s="3148">
        <v>3052</v>
      </c>
      <c r="BC10" s="3148">
        <v>2818</v>
      </c>
      <c r="BD10" s="3148">
        <v>2629</v>
      </c>
      <c r="BE10" s="3148">
        <v>4974</v>
      </c>
      <c r="BF10" s="3148">
        <v>3543</v>
      </c>
      <c r="BG10" s="3148">
        <v>3098</v>
      </c>
      <c r="BH10" s="3148">
        <v>2495</v>
      </c>
      <c r="BI10" s="3148">
        <v>2223</v>
      </c>
      <c r="BJ10" s="3148">
        <v>2836</v>
      </c>
      <c r="BK10" s="3149">
        <v>3329</v>
      </c>
      <c r="BL10" s="3150">
        <v>5325</v>
      </c>
      <c r="BM10" s="3151">
        <v>3242</v>
      </c>
      <c r="BN10" s="3151">
        <v>2313</v>
      </c>
      <c r="BO10" s="3151">
        <v>1550</v>
      </c>
      <c r="BP10" s="3151">
        <v>1783</v>
      </c>
      <c r="BQ10" s="3151">
        <v>2956</v>
      </c>
      <c r="BR10" s="3151">
        <v>2188</v>
      </c>
      <c r="BS10" s="3151">
        <v>1977</v>
      </c>
      <c r="BT10" s="3152">
        <v>1675</v>
      </c>
      <c r="BU10" s="3152">
        <v>1300</v>
      </c>
      <c r="BV10" s="3152">
        <v>2993</v>
      </c>
      <c r="BW10" s="3153">
        <v>5640</v>
      </c>
      <c r="BX10" s="3154">
        <v>3618</v>
      </c>
      <c r="BY10" s="3155">
        <v>3340</v>
      </c>
      <c r="BZ10" s="3155">
        <v>2667</v>
      </c>
      <c r="CA10" s="3155">
        <v>2436</v>
      </c>
      <c r="CB10" s="3155">
        <v>3369</v>
      </c>
      <c r="CC10" s="3155">
        <v>5607</v>
      </c>
      <c r="CD10" s="3155">
        <v>3901</v>
      </c>
      <c r="CE10" s="3155">
        <v>3792</v>
      </c>
      <c r="CF10" s="3155">
        <v>3812</v>
      </c>
      <c r="CG10" s="3155">
        <v>3101</v>
      </c>
      <c r="CH10" s="3155">
        <v>3939</v>
      </c>
      <c r="CI10" s="3156">
        <v>7349</v>
      </c>
      <c r="CJ10" s="3157">
        <v>3947</v>
      </c>
      <c r="CK10" s="3158">
        <v>4481</v>
      </c>
      <c r="CL10" s="3158">
        <v>3791</v>
      </c>
      <c r="CM10" s="3158">
        <v>3116</v>
      </c>
      <c r="CN10" s="3158">
        <v>3597</v>
      </c>
      <c r="CO10" s="3158">
        <v>3912</v>
      </c>
      <c r="CP10" s="3158">
        <v>5548</v>
      </c>
      <c r="CQ10" s="3158">
        <v>3826</v>
      </c>
      <c r="CR10" s="3158">
        <v>3484</v>
      </c>
      <c r="CS10" s="3158">
        <v>4113</v>
      </c>
      <c r="CT10" s="3158">
        <v>4509</v>
      </c>
      <c r="CU10" s="3159">
        <v>9532</v>
      </c>
      <c r="CV10" s="3160">
        <v>4858</v>
      </c>
      <c r="CW10" s="3155">
        <v>5146</v>
      </c>
      <c r="CX10" s="3156">
        <v>4036</v>
      </c>
      <c r="CY10" s="3156">
        <v>3546</v>
      </c>
      <c r="CZ10" s="3156">
        <v>4120</v>
      </c>
      <c r="DA10" s="3156">
        <v>7490</v>
      </c>
      <c r="DB10" s="3156">
        <v>7418</v>
      </c>
      <c r="DC10" s="3156">
        <v>4723</v>
      </c>
      <c r="DD10" s="3161">
        <v>4463</v>
      </c>
      <c r="DE10" s="3156">
        <v>4758</v>
      </c>
      <c r="DF10" s="3148"/>
      <c r="DG10" s="3148"/>
      <c r="DH10" s="3162">
        <v>5764</v>
      </c>
      <c r="DI10" s="3163">
        <v>5469</v>
      </c>
      <c r="DJ10" s="3163">
        <v>4902</v>
      </c>
      <c r="DK10" s="3164">
        <v>3816</v>
      </c>
      <c r="DL10" s="3164">
        <v>4385</v>
      </c>
      <c r="DM10" s="3164">
        <v>7671</v>
      </c>
      <c r="DN10" s="3164">
        <v>7438</v>
      </c>
      <c r="DO10" s="3164">
        <v>5209</v>
      </c>
      <c r="DP10" s="3164">
        <v>5845</v>
      </c>
      <c r="DQ10" s="3164">
        <v>7124</v>
      </c>
      <c r="DR10" s="3164">
        <v>8072</v>
      </c>
      <c r="DS10" s="3163">
        <v>18166</v>
      </c>
      <c r="DT10" s="3165">
        <v>8336</v>
      </c>
      <c r="DU10" s="3165">
        <v>9615</v>
      </c>
      <c r="DV10" s="3165">
        <v>8820</v>
      </c>
      <c r="DW10" s="3165">
        <v>8980</v>
      </c>
      <c r="DX10" s="3165">
        <v>8939</v>
      </c>
      <c r="DY10" s="3165">
        <v>14372</v>
      </c>
      <c r="DZ10" s="3166"/>
      <c r="EA10" s="3166"/>
      <c r="EB10" s="3166"/>
      <c r="EC10" s="3166"/>
      <c r="ED10" s="3166"/>
      <c r="EE10" s="3166"/>
      <c r="EF10" s="3165">
        <v>8336</v>
      </c>
      <c r="EG10" s="3165">
        <v>9615</v>
      </c>
      <c r="EH10" s="3165">
        <v>8820</v>
      </c>
      <c r="EI10" s="3165">
        <v>8980</v>
      </c>
      <c r="EJ10" s="3165">
        <v>8939</v>
      </c>
      <c r="EK10" s="3165">
        <v>14372</v>
      </c>
      <c r="EL10" s="3166"/>
      <c r="EM10" s="3166"/>
      <c r="EN10" s="3166"/>
      <c r="EO10" s="3166"/>
      <c r="EP10" s="3166"/>
      <c r="EQ10" s="3166"/>
      <c r="ER10" s="3165">
        <v>8336</v>
      </c>
      <c r="ES10" s="3165">
        <v>9615</v>
      </c>
      <c r="ET10" s="3165">
        <v>8820</v>
      </c>
      <c r="EU10" s="3165">
        <v>8980</v>
      </c>
      <c r="EV10" s="3165">
        <v>8939</v>
      </c>
      <c r="EW10" s="3165">
        <v>14372</v>
      </c>
      <c r="EX10" s="3166"/>
      <c r="EY10" s="3166"/>
      <c r="EZ10" s="3166"/>
      <c r="FA10" s="3166"/>
      <c r="FB10" s="3166"/>
      <c r="FC10" s="3166"/>
      <c r="FD10" s="2669"/>
      <c r="FE10" s="2669"/>
      <c r="FF10" s="2669"/>
      <c r="FG10" s="2669"/>
      <c r="FH10" s="2669"/>
      <c r="FI10" s="2669"/>
      <c r="FJ10" s="2669"/>
      <c r="FK10" s="2669"/>
      <c r="FL10" s="2669"/>
      <c r="FM10" s="2669"/>
      <c r="FN10" s="2669"/>
      <c r="FO10" s="2669"/>
      <c r="FP10" s="2670"/>
      <c r="FQ10" s="2669"/>
      <c r="FR10" s="2669"/>
      <c r="FS10" s="2669"/>
      <c r="FT10" s="2669"/>
      <c r="FU10" s="2669"/>
      <c r="FV10" s="2669"/>
      <c r="FW10" s="2669"/>
      <c r="FX10" s="2669"/>
      <c r="FY10" s="2669"/>
      <c r="FZ10" s="2669"/>
      <c r="GA10" s="2669"/>
      <c r="GB10" s="2595"/>
      <c r="GC10" s="2569"/>
      <c r="GD10" s="2671">
        <v>13229</v>
      </c>
      <c r="GE10" s="2672">
        <v>14899</v>
      </c>
      <c r="GF10" s="2672">
        <v>17507</v>
      </c>
      <c r="GG10" s="2673">
        <v>13539</v>
      </c>
      <c r="GH10" s="2674">
        <v>10685</v>
      </c>
      <c r="GI10" s="2675">
        <v>7844</v>
      </c>
      <c r="GJ10" s="2675">
        <v>6068</v>
      </c>
      <c r="GK10" s="2676">
        <v>5143</v>
      </c>
      <c r="GL10" s="2677">
        <v>5286</v>
      </c>
      <c r="GM10" s="2678">
        <v>6710</v>
      </c>
      <c r="GN10" s="2679">
        <v>11723</v>
      </c>
      <c r="GO10" s="2679">
        <v>13314</v>
      </c>
      <c r="GP10" s="2680">
        <v>11291</v>
      </c>
      <c r="GQ10" s="2681">
        <v>11028</v>
      </c>
      <c r="GR10" s="2681">
        <v>12216</v>
      </c>
      <c r="GS10" s="2682">
        <v>11271</v>
      </c>
      <c r="GT10" s="2683">
        <v>10831</v>
      </c>
      <c r="GU10" s="2684">
        <v>10421</v>
      </c>
      <c r="GV10" s="2684">
        <v>9136</v>
      </c>
      <c r="GW10" s="2685">
        <v>8388</v>
      </c>
      <c r="GX10" s="2681">
        <v>10880</v>
      </c>
      <c r="GY10" s="2681">
        <v>6289</v>
      </c>
      <c r="GZ10" s="2681">
        <v>5840</v>
      </c>
      <c r="HA10" s="2681">
        <v>9933</v>
      </c>
      <c r="HB10" s="2686">
        <v>9625</v>
      </c>
      <c r="HC10" s="2686">
        <v>11412</v>
      </c>
      <c r="HD10" s="2686">
        <v>11505</v>
      </c>
      <c r="HE10" s="2686">
        <v>14389</v>
      </c>
      <c r="HF10" s="2687">
        <v>12219</v>
      </c>
      <c r="HG10" s="2687">
        <v>10625</v>
      </c>
      <c r="HH10" s="2687">
        <v>13487</v>
      </c>
      <c r="HI10" s="2687">
        <v>18154</v>
      </c>
      <c r="HJ10" s="2688">
        <v>14040</v>
      </c>
      <c r="HK10" s="2688">
        <v>12424</v>
      </c>
      <c r="HL10" s="2688">
        <v>16899</v>
      </c>
      <c r="HM10" s="2689">
        <f>+DH10+DI10+DJ10</f>
        <v>16135</v>
      </c>
      <c r="HN10" s="2689">
        <f>+DM10+DL10+DK10</f>
        <v>15872</v>
      </c>
      <c r="HO10" s="2689">
        <f>+DP10+DO10+DN10</f>
        <v>18492</v>
      </c>
      <c r="HP10" s="2689">
        <f>+DQ10+DR10+DS10</f>
        <v>33362</v>
      </c>
      <c r="HQ10" s="2690">
        <f>+DT10+DU10+DV10</f>
        <v>26771</v>
      </c>
      <c r="HR10" s="2690">
        <f>+DW10+DX10+DY10</f>
        <v>32291</v>
      </c>
      <c r="HS10" s="2570"/>
      <c r="HT10" s="2569"/>
      <c r="HU10" s="2681"/>
      <c r="HV10" s="2686"/>
      <c r="HW10" s="2686"/>
      <c r="HX10" s="2686"/>
      <c r="HY10" s="2681"/>
      <c r="HZ10" s="2686"/>
      <c r="IA10" s="2686"/>
      <c r="IB10" s="2686"/>
      <c r="IC10" s="2686"/>
      <c r="ID10" s="2686"/>
      <c r="IE10" s="2686"/>
      <c r="IF10" s="2686"/>
      <c r="IG10" s="2686"/>
      <c r="IH10" s="2686"/>
      <c r="II10" s="2686"/>
      <c r="IJ10" s="2686"/>
      <c r="IK10" s="2691">
        <v>59174</v>
      </c>
      <c r="IL10" s="3167">
        <v>29740</v>
      </c>
      <c r="IM10" s="3167">
        <v>37033</v>
      </c>
      <c r="IN10" s="3167">
        <v>45806</v>
      </c>
      <c r="IO10" s="3167">
        <v>38776</v>
      </c>
      <c r="IP10" s="3167">
        <v>32942</v>
      </c>
      <c r="IQ10" s="3167">
        <v>46931</v>
      </c>
      <c r="IR10" s="3167">
        <v>53856</v>
      </c>
      <c r="IS10" s="3168">
        <v>64599</v>
      </c>
      <c r="IT10" s="3168">
        <f>SUM(DI10:DT10)</f>
        <v>86433</v>
      </c>
      <c r="IU10" s="3169">
        <f>SUM(DO10:EE10)</f>
        <v>103478</v>
      </c>
      <c r="IV10" s="3099"/>
      <c r="IW10" s="3099"/>
      <c r="IX10" s="3099"/>
      <c r="IY10" s="3100"/>
      <c r="IZ10" s="3101"/>
      <c r="JA10" s="3578"/>
      <c r="JC10" s="3099"/>
      <c r="JD10" s="3045"/>
      <c r="JE10" s="3045"/>
      <c r="JF10" s="3045"/>
      <c r="JG10" s="3045"/>
      <c r="JH10" s="2566"/>
      <c r="JI10" s="3076"/>
      <c r="JJ10" s="2566"/>
      <c r="JK10" s="2566"/>
      <c r="JL10" s="2566"/>
      <c r="JM10" s="2566"/>
      <c r="JN10" s="2566"/>
      <c r="JO10" s="2566"/>
      <c r="JP10" s="2566"/>
      <c r="JQ10" s="2566"/>
      <c r="JS10" s="3045"/>
      <c r="JT10" s="3045"/>
      <c r="JU10" s="3045"/>
      <c r="JV10" s="3045"/>
      <c r="JW10" s="3045"/>
      <c r="JX10" s="3045"/>
      <c r="JY10" s="3045"/>
      <c r="JZ10" s="3045"/>
      <c r="KA10" s="3045"/>
      <c r="KB10" s="3045"/>
      <c r="KC10" s="3045"/>
      <c r="KD10" s="3045"/>
      <c r="KE10" s="3045"/>
      <c r="KF10" s="3045"/>
      <c r="KG10" s="3045"/>
      <c r="KH10" s="3045"/>
      <c r="KI10" s="3045"/>
      <c r="KJ10" s="3045"/>
      <c r="KK10" s="3045"/>
      <c r="KL10" s="3045"/>
      <c r="KM10" s="3045"/>
      <c r="KN10" s="3045"/>
      <c r="KO10" s="3045"/>
    </row>
    <row r="11" spans="1:301" ht="21.9" hidden="1" customHeight="1">
      <c r="A11" s="2566"/>
      <c r="B11" s="3045"/>
      <c r="C11" s="3136" t="s">
        <v>461</v>
      </c>
      <c r="D11" s="3137">
        <v>25322</v>
      </c>
      <c r="E11" s="3138">
        <v>24140</v>
      </c>
      <c r="F11" s="3138">
        <v>28541</v>
      </c>
      <c r="G11" s="3138">
        <v>23370</v>
      </c>
      <c r="H11" s="3138">
        <v>24442</v>
      </c>
      <c r="I11" s="3138">
        <v>33849</v>
      </c>
      <c r="J11" s="3138">
        <v>42417</v>
      </c>
      <c r="K11" s="3138">
        <v>36426</v>
      </c>
      <c r="L11" s="3138">
        <v>27234</v>
      </c>
      <c r="M11" s="3138">
        <v>30634</v>
      </c>
      <c r="N11" s="3138">
        <v>31236</v>
      </c>
      <c r="O11" s="3139">
        <v>31068</v>
      </c>
      <c r="P11" s="3140">
        <v>31338</v>
      </c>
      <c r="Q11" s="3141">
        <v>42315</v>
      </c>
      <c r="R11" s="3141">
        <v>33948</v>
      </c>
      <c r="S11" s="3141">
        <v>29163</v>
      </c>
      <c r="T11" s="3141">
        <v>33174</v>
      </c>
      <c r="U11" s="3141">
        <v>42106</v>
      </c>
      <c r="V11" s="3141">
        <v>47672</v>
      </c>
      <c r="W11" s="3141">
        <v>41502</v>
      </c>
      <c r="X11" s="3141">
        <v>33136</v>
      </c>
      <c r="Y11" s="3141">
        <v>35550</v>
      </c>
      <c r="Z11" s="3141">
        <v>36578</v>
      </c>
      <c r="AA11" s="3142">
        <v>35277</v>
      </c>
      <c r="AB11" s="3143">
        <v>34285</v>
      </c>
      <c r="AC11" s="3144">
        <v>30903</v>
      </c>
      <c r="AD11" s="3144">
        <v>32667</v>
      </c>
      <c r="AE11" s="3144">
        <v>31984</v>
      </c>
      <c r="AF11" s="3144">
        <v>30536</v>
      </c>
      <c r="AG11" s="3144">
        <v>43500</v>
      </c>
      <c r="AH11" s="3144">
        <v>46911</v>
      </c>
      <c r="AI11" s="3144">
        <v>39477</v>
      </c>
      <c r="AJ11" s="3144">
        <v>29830</v>
      </c>
      <c r="AK11" s="3144">
        <v>32427</v>
      </c>
      <c r="AL11" s="3144">
        <v>34307</v>
      </c>
      <c r="AM11" s="3144">
        <v>38005</v>
      </c>
      <c r="AN11" s="3145">
        <v>34477</v>
      </c>
      <c r="AO11" s="3145">
        <v>35747</v>
      </c>
      <c r="AP11" s="3145">
        <v>34960</v>
      </c>
      <c r="AQ11" s="3145">
        <v>29157</v>
      </c>
      <c r="AR11" s="3145">
        <v>33502</v>
      </c>
      <c r="AS11" s="3145">
        <v>41120</v>
      </c>
      <c r="AT11" s="3145">
        <v>46040</v>
      </c>
      <c r="AU11" s="3145">
        <v>38197</v>
      </c>
      <c r="AV11" s="3145">
        <v>28797</v>
      </c>
      <c r="AW11" s="3145">
        <v>35093</v>
      </c>
      <c r="AX11" s="3145">
        <v>34414</v>
      </c>
      <c r="AY11" s="3146">
        <v>36911</v>
      </c>
      <c r="AZ11" s="3147">
        <v>33719</v>
      </c>
      <c r="BA11" s="3148">
        <v>31943</v>
      </c>
      <c r="BB11" s="3148">
        <v>36363</v>
      </c>
      <c r="BC11" s="3148">
        <v>33131</v>
      </c>
      <c r="BD11" s="3148">
        <v>35394</v>
      </c>
      <c r="BE11" s="3148">
        <v>42870</v>
      </c>
      <c r="BF11" s="3148">
        <v>47609</v>
      </c>
      <c r="BG11" s="3148">
        <v>39938</v>
      </c>
      <c r="BH11" s="3148">
        <v>32133</v>
      </c>
      <c r="BI11" s="3148">
        <v>36359</v>
      </c>
      <c r="BJ11" s="3148">
        <v>38237</v>
      </c>
      <c r="BK11" s="3149">
        <v>40906</v>
      </c>
      <c r="BL11" s="3150">
        <v>32448</v>
      </c>
      <c r="BM11" s="3151">
        <v>32412</v>
      </c>
      <c r="BN11" s="3151">
        <v>38350</v>
      </c>
      <c r="BO11" s="3151">
        <v>34974</v>
      </c>
      <c r="BP11" s="3151">
        <v>38937</v>
      </c>
      <c r="BQ11" s="3151">
        <v>51210</v>
      </c>
      <c r="BR11" s="3151">
        <v>53980</v>
      </c>
      <c r="BS11" s="3151">
        <v>44235</v>
      </c>
      <c r="BT11" s="3152">
        <v>38072</v>
      </c>
      <c r="BU11" s="3152">
        <v>43564</v>
      </c>
      <c r="BV11" s="3152">
        <v>43429</v>
      </c>
      <c r="BW11" s="3153">
        <v>48905</v>
      </c>
      <c r="BX11" s="3154">
        <v>42519</v>
      </c>
      <c r="BY11" s="3155">
        <v>39834</v>
      </c>
      <c r="BZ11" s="3155">
        <v>46360</v>
      </c>
      <c r="CA11" s="3155">
        <v>39198</v>
      </c>
      <c r="CB11" s="3155">
        <v>44734</v>
      </c>
      <c r="CC11" s="3155">
        <v>55447</v>
      </c>
      <c r="CD11" s="3155">
        <v>60218</v>
      </c>
      <c r="CE11" s="3155">
        <v>48917</v>
      </c>
      <c r="CF11" s="3155">
        <v>45574</v>
      </c>
      <c r="CG11" s="3155">
        <v>49866</v>
      </c>
      <c r="CH11" s="3155">
        <v>52322</v>
      </c>
      <c r="CI11" s="3156">
        <v>57010</v>
      </c>
      <c r="CJ11" s="3157">
        <v>47741</v>
      </c>
      <c r="CK11" s="3158">
        <v>49141</v>
      </c>
      <c r="CL11" s="3158">
        <v>47957</v>
      </c>
      <c r="CM11" s="3158">
        <v>46454</v>
      </c>
      <c r="CN11" s="3158">
        <v>48577</v>
      </c>
      <c r="CO11" s="3158">
        <v>54883</v>
      </c>
      <c r="CP11" s="3158">
        <v>65551</v>
      </c>
      <c r="CQ11" s="3158">
        <v>53964</v>
      </c>
      <c r="CR11" s="3158">
        <v>52370</v>
      </c>
      <c r="CS11" s="3158">
        <v>55356</v>
      </c>
      <c r="CT11" s="3158">
        <v>58748</v>
      </c>
      <c r="CU11" s="3159">
        <v>68417</v>
      </c>
      <c r="CV11" s="3160">
        <v>53366</v>
      </c>
      <c r="CW11" s="3155">
        <v>48175</v>
      </c>
      <c r="CX11" s="3156">
        <v>55357</v>
      </c>
      <c r="CY11" s="3156">
        <v>50308</v>
      </c>
      <c r="CZ11" s="3156">
        <v>52518</v>
      </c>
      <c r="DA11" s="3156">
        <v>59648</v>
      </c>
      <c r="DB11" s="3156">
        <v>65588</v>
      </c>
      <c r="DC11" s="3156">
        <v>48271</v>
      </c>
      <c r="DD11" s="3161">
        <v>47180</v>
      </c>
      <c r="DE11" s="3156">
        <v>51691</v>
      </c>
      <c r="DF11" s="3148"/>
      <c r="DG11" s="3148"/>
      <c r="DH11" s="3162">
        <v>47069</v>
      </c>
      <c r="DI11" s="3163">
        <v>45969</v>
      </c>
      <c r="DJ11" s="3163">
        <v>49518</v>
      </c>
      <c r="DK11" s="3164">
        <v>37167</v>
      </c>
      <c r="DL11" s="3164">
        <v>41777</v>
      </c>
      <c r="DM11" s="3164">
        <v>53606</v>
      </c>
      <c r="DN11" s="3164">
        <v>58914</v>
      </c>
      <c r="DO11" s="3164">
        <v>42596</v>
      </c>
      <c r="DP11" s="3164">
        <v>34324</v>
      </c>
      <c r="DQ11" s="3164">
        <v>46707</v>
      </c>
      <c r="DR11" s="3164">
        <v>40239</v>
      </c>
      <c r="DS11" s="3163">
        <v>45879</v>
      </c>
      <c r="DT11" s="3165">
        <v>42278</v>
      </c>
      <c r="DU11" s="3165">
        <v>37817</v>
      </c>
      <c r="DV11" s="3165">
        <v>44201</v>
      </c>
      <c r="DW11" s="3165">
        <v>41228</v>
      </c>
      <c r="DX11" s="3165">
        <f>+DX12-DX10</f>
        <v>38096</v>
      </c>
      <c r="DY11" s="3165">
        <v>51494</v>
      </c>
      <c r="DZ11" s="3166"/>
      <c r="EA11" s="3166"/>
      <c r="EB11" s="3166"/>
      <c r="EC11" s="3166"/>
      <c r="ED11" s="3166"/>
      <c r="EE11" s="3166"/>
      <c r="EF11" s="3165">
        <v>42278</v>
      </c>
      <c r="EG11" s="3165">
        <v>37817</v>
      </c>
      <c r="EH11" s="3165">
        <v>44201</v>
      </c>
      <c r="EI11" s="3165">
        <v>41228</v>
      </c>
      <c r="EJ11" s="3165">
        <f>+EJ12-EJ10</f>
        <v>38096</v>
      </c>
      <c r="EK11" s="3165">
        <v>51494</v>
      </c>
      <c r="EL11" s="3166"/>
      <c r="EM11" s="3166"/>
      <c r="EN11" s="3166"/>
      <c r="EO11" s="3166"/>
      <c r="EP11" s="3166"/>
      <c r="EQ11" s="3166"/>
      <c r="ER11" s="3165">
        <v>42278</v>
      </c>
      <c r="ES11" s="3165">
        <v>37817</v>
      </c>
      <c r="ET11" s="3165">
        <v>44201</v>
      </c>
      <c r="EU11" s="3165">
        <v>41228</v>
      </c>
      <c r="EV11" s="3165">
        <f>+EV12-EV10</f>
        <v>38096</v>
      </c>
      <c r="EW11" s="3165">
        <v>51494</v>
      </c>
      <c r="EX11" s="3166"/>
      <c r="EY11" s="3166"/>
      <c r="EZ11" s="3166"/>
      <c r="FA11" s="3166"/>
      <c r="FB11" s="3166"/>
      <c r="FC11" s="3166"/>
      <c r="FD11" s="2669"/>
      <c r="FE11" s="2669"/>
      <c r="FF11" s="2669"/>
      <c r="FG11" s="2669"/>
      <c r="FH11" s="2669"/>
      <c r="FI11" s="2669"/>
      <c r="FJ11" s="2669"/>
      <c r="FK11" s="2669"/>
      <c r="FL11" s="2669"/>
      <c r="FM11" s="2669"/>
      <c r="FN11" s="2669"/>
      <c r="FO11" s="2669"/>
      <c r="FP11" s="2670"/>
      <c r="FQ11" s="2669"/>
      <c r="FR11" s="2669"/>
      <c r="FS11" s="2669"/>
      <c r="FT11" s="2669"/>
      <c r="FU11" s="2669"/>
      <c r="FV11" s="2669"/>
      <c r="FW11" s="2669"/>
      <c r="FX11" s="2669"/>
      <c r="FY11" s="2669"/>
      <c r="FZ11" s="2669"/>
      <c r="GA11" s="2669"/>
      <c r="GB11" s="2595"/>
      <c r="GC11" s="2569"/>
      <c r="GD11" s="2671">
        <v>78003</v>
      </c>
      <c r="GE11" s="2672">
        <v>81661</v>
      </c>
      <c r="GF11" s="2672">
        <v>106077</v>
      </c>
      <c r="GG11" s="2673">
        <v>92938</v>
      </c>
      <c r="GH11" s="2674">
        <v>107601</v>
      </c>
      <c r="GI11" s="2675">
        <v>104443</v>
      </c>
      <c r="GJ11" s="2675">
        <v>122310</v>
      </c>
      <c r="GK11" s="2676">
        <v>107405</v>
      </c>
      <c r="GL11" s="2677">
        <v>97855</v>
      </c>
      <c r="GM11" s="2678">
        <v>106020</v>
      </c>
      <c r="GN11" s="2679">
        <v>116218</v>
      </c>
      <c r="GO11" s="2679">
        <v>104739</v>
      </c>
      <c r="GP11" s="2680">
        <v>105184</v>
      </c>
      <c r="GQ11" s="2681">
        <v>103779</v>
      </c>
      <c r="GR11" s="2681">
        <v>113034</v>
      </c>
      <c r="GS11" s="2682">
        <v>106418</v>
      </c>
      <c r="GT11" s="2683">
        <v>102025</v>
      </c>
      <c r="GU11" s="2684">
        <v>111395</v>
      </c>
      <c r="GV11" s="2684">
        <v>119680</v>
      </c>
      <c r="GW11" s="2685">
        <v>115502</v>
      </c>
      <c r="GX11" s="2681">
        <v>103210</v>
      </c>
      <c r="GY11" s="2681">
        <v>125121</v>
      </c>
      <c r="GZ11" s="2681">
        <v>136287</v>
      </c>
      <c r="HA11" s="2681">
        <v>135898</v>
      </c>
      <c r="HB11" s="2686">
        <v>128713</v>
      </c>
      <c r="HC11" s="2686">
        <v>139379</v>
      </c>
      <c r="HD11" s="2686">
        <v>154709</v>
      </c>
      <c r="HE11" s="2686">
        <v>159198</v>
      </c>
      <c r="HF11" s="2687">
        <v>144839</v>
      </c>
      <c r="HG11" s="2687">
        <v>149914</v>
      </c>
      <c r="HH11" s="2687">
        <v>174871</v>
      </c>
      <c r="HI11" s="2687">
        <v>182521</v>
      </c>
      <c r="HJ11" s="2688">
        <v>156898</v>
      </c>
      <c r="HK11" s="2688">
        <v>154517</v>
      </c>
      <c r="HL11" s="2688">
        <v>165550</v>
      </c>
      <c r="HM11" s="2689">
        <f>+DH11+DI11+DJ11</f>
        <v>142556</v>
      </c>
      <c r="HN11" s="2689">
        <f>+DM11+DL11+DK11</f>
        <v>132550</v>
      </c>
      <c r="HO11" s="2689">
        <f>+DP11+DO11+DN11</f>
        <v>135834</v>
      </c>
      <c r="HP11" s="2689">
        <f>+DQ11+DR11+DS11</f>
        <v>132825</v>
      </c>
      <c r="HQ11" s="2690">
        <f>+DT11+DU11+DV11</f>
        <v>124296</v>
      </c>
      <c r="HR11" s="2690">
        <f>+DW11+DX11+DY11</f>
        <v>130818</v>
      </c>
      <c r="HS11" s="2570"/>
      <c r="HT11" s="2569"/>
      <c r="HU11" s="2681"/>
      <c r="HV11" s="2686"/>
      <c r="HW11" s="2686"/>
      <c r="HX11" s="2686"/>
      <c r="HY11" s="2681"/>
      <c r="HZ11" s="2686"/>
      <c r="IA11" s="2686"/>
      <c r="IB11" s="2686"/>
      <c r="IC11" s="2686"/>
      <c r="ID11" s="2686"/>
      <c r="IE11" s="2686"/>
      <c r="IF11" s="2686"/>
      <c r="IG11" s="2686"/>
      <c r="IH11" s="2686"/>
      <c r="II11" s="2686"/>
      <c r="IJ11" s="2686"/>
      <c r="IK11" s="2691">
        <v>358679</v>
      </c>
      <c r="IL11" s="3167">
        <v>441759</v>
      </c>
      <c r="IM11" s="3167">
        <v>424832</v>
      </c>
      <c r="IN11" s="3167">
        <v>428415</v>
      </c>
      <c r="IO11" s="3167">
        <v>448602</v>
      </c>
      <c r="IP11" s="3167">
        <v>500516</v>
      </c>
      <c r="IQ11" s="3167">
        <v>581999</v>
      </c>
      <c r="IR11" s="3167">
        <v>649159</v>
      </c>
      <c r="IS11" s="3168">
        <v>659267</v>
      </c>
      <c r="IT11" s="3168">
        <f>SUM(DI11:DT11)</f>
        <v>538974</v>
      </c>
      <c r="IU11" s="3169">
        <f>SUM(DO11:EE11)</f>
        <v>464859</v>
      </c>
      <c r="IV11" s="3099"/>
      <c r="IW11" s="3099"/>
      <c r="IX11" s="3099"/>
      <c r="IY11" s="3100"/>
      <c r="IZ11" s="3101"/>
      <c r="JA11" s="3578"/>
      <c r="JC11" s="3099"/>
      <c r="JD11" s="3045"/>
      <c r="JE11" s="3045"/>
      <c r="JF11" s="3045"/>
      <c r="JG11" s="3045"/>
      <c r="JH11" s="2566"/>
      <c r="JI11" s="3076"/>
      <c r="JJ11" s="2566"/>
      <c r="JK11" s="2566"/>
      <c r="JL11" s="2566"/>
      <c r="JM11" s="2566"/>
      <c r="JN11" s="2566"/>
      <c r="JO11" s="2566"/>
      <c r="JP11" s="2566"/>
      <c r="JQ11" s="2566"/>
      <c r="JS11" s="3045"/>
      <c r="JT11" s="3045"/>
      <c r="JU11" s="3045"/>
      <c r="JV11" s="3045"/>
      <c r="JW11" s="3045"/>
      <c r="JX11" s="3045"/>
      <c r="JY11" s="3045"/>
      <c r="JZ11" s="3045"/>
      <c r="KA11" s="3045"/>
      <c r="KB11" s="3045"/>
      <c r="KC11" s="3045"/>
      <c r="KD11" s="3045"/>
      <c r="KE11" s="3045"/>
      <c r="KF11" s="3045"/>
      <c r="KG11" s="3045"/>
      <c r="KH11" s="3045"/>
      <c r="KI11" s="3045"/>
      <c r="KJ11" s="3045"/>
      <c r="KK11" s="3045"/>
      <c r="KL11" s="3045"/>
      <c r="KM11" s="3045"/>
      <c r="KN11" s="3045"/>
      <c r="KO11" s="3045"/>
    </row>
    <row r="12" spans="1:301" ht="21.9" hidden="1" customHeight="1" thickBot="1">
      <c r="A12" s="2566"/>
      <c r="B12" s="3045"/>
      <c r="C12" s="3136" t="s">
        <v>52</v>
      </c>
      <c r="D12" s="3170">
        <v>29447</v>
      </c>
      <c r="E12" s="3171">
        <v>29249</v>
      </c>
      <c r="F12" s="3171">
        <v>32536</v>
      </c>
      <c r="G12" s="3171">
        <v>26929</v>
      </c>
      <c r="H12" s="3171">
        <v>28526</v>
      </c>
      <c r="I12" s="3171">
        <v>41105</v>
      </c>
      <c r="J12" s="3171">
        <v>49933</v>
      </c>
      <c r="K12" s="3171">
        <v>42244</v>
      </c>
      <c r="L12" s="3171">
        <v>31407</v>
      </c>
      <c r="M12" s="3171">
        <v>33891</v>
      </c>
      <c r="N12" s="3171">
        <v>35806</v>
      </c>
      <c r="O12" s="3172">
        <v>36780</v>
      </c>
      <c r="P12" s="3173">
        <v>34991</v>
      </c>
      <c r="Q12" s="3174">
        <v>46490</v>
      </c>
      <c r="R12" s="3174">
        <v>36805</v>
      </c>
      <c r="S12" s="3174">
        <v>31105</v>
      </c>
      <c r="T12" s="3174">
        <v>35598</v>
      </c>
      <c r="U12" s="3174">
        <v>45584</v>
      </c>
      <c r="V12" s="3174">
        <v>50484</v>
      </c>
      <c r="W12" s="3174">
        <v>43576</v>
      </c>
      <c r="X12" s="3174">
        <v>34318</v>
      </c>
      <c r="Y12" s="3174">
        <v>36977</v>
      </c>
      <c r="Z12" s="3174">
        <v>38290</v>
      </c>
      <c r="AA12" s="3175">
        <v>37281</v>
      </c>
      <c r="AB12" s="3143">
        <v>35904</v>
      </c>
      <c r="AC12" s="3144">
        <v>32995</v>
      </c>
      <c r="AD12" s="3144">
        <v>34242</v>
      </c>
      <c r="AE12" s="3144">
        <v>33161</v>
      </c>
      <c r="AF12" s="3144">
        <v>32773</v>
      </c>
      <c r="AG12" s="3144">
        <v>46796</v>
      </c>
      <c r="AH12" s="3144">
        <v>50069</v>
      </c>
      <c r="AI12" s="3144">
        <v>44378</v>
      </c>
      <c r="AJ12" s="3144">
        <v>33494</v>
      </c>
      <c r="AK12" s="3144">
        <v>35959</v>
      </c>
      <c r="AL12" s="3144">
        <v>38401</v>
      </c>
      <c r="AM12" s="3144">
        <v>43693</v>
      </c>
      <c r="AN12" s="3145">
        <v>38603</v>
      </c>
      <c r="AO12" s="3145">
        <v>39843</v>
      </c>
      <c r="AP12" s="3145">
        <v>38029</v>
      </c>
      <c r="AQ12" s="3145">
        <v>31598</v>
      </c>
      <c r="AR12" s="3145">
        <v>37116</v>
      </c>
      <c r="AS12" s="3145">
        <v>46093</v>
      </c>
      <c r="AT12" s="3145">
        <v>49766</v>
      </c>
      <c r="AU12" s="3145">
        <v>42481</v>
      </c>
      <c r="AV12" s="3145">
        <v>33003</v>
      </c>
      <c r="AW12" s="3145">
        <v>38298</v>
      </c>
      <c r="AX12" s="3145">
        <v>38171</v>
      </c>
      <c r="AY12" s="3146">
        <v>41220</v>
      </c>
      <c r="AZ12" s="3176">
        <v>37463</v>
      </c>
      <c r="BA12" s="3177">
        <v>35978</v>
      </c>
      <c r="BB12" s="3177">
        <v>39415</v>
      </c>
      <c r="BC12" s="3177">
        <v>35949</v>
      </c>
      <c r="BD12" s="3177">
        <v>38023</v>
      </c>
      <c r="BE12" s="3177">
        <v>47844</v>
      </c>
      <c r="BF12" s="3177">
        <v>51152</v>
      </c>
      <c r="BG12" s="3177">
        <v>43036</v>
      </c>
      <c r="BH12" s="3177">
        <v>34628</v>
      </c>
      <c r="BI12" s="3177">
        <v>38582</v>
      </c>
      <c r="BJ12" s="3177">
        <v>41073</v>
      </c>
      <c r="BK12" s="3178">
        <v>44235</v>
      </c>
      <c r="BL12" s="3179">
        <v>37773</v>
      </c>
      <c r="BM12" s="3180">
        <v>35654</v>
      </c>
      <c r="BN12" s="3180">
        <v>40663</v>
      </c>
      <c r="BO12" s="3180">
        <v>36524</v>
      </c>
      <c r="BP12" s="3180">
        <v>40720</v>
      </c>
      <c r="BQ12" s="3180">
        <v>54166</v>
      </c>
      <c r="BR12" s="3180">
        <v>56168</v>
      </c>
      <c r="BS12" s="3180">
        <v>46212</v>
      </c>
      <c r="BT12" s="3181">
        <v>39747</v>
      </c>
      <c r="BU12" s="3181">
        <v>44864</v>
      </c>
      <c r="BV12" s="3181">
        <v>46422</v>
      </c>
      <c r="BW12" s="3182">
        <v>54545</v>
      </c>
      <c r="BX12" s="3183">
        <v>46137</v>
      </c>
      <c r="BY12" s="3184">
        <v>43174</v>
      </c>
      <c r="BZ12" s="3184">
        <v>49027</v>
      </c>
      <c r="CA12" s="3184">
        <v>41634</v>
      </c>
      <c r="CB12" s="3184">
        <v>48103</v>
      </c>
      <c r="CC12" s="3184">
        <v>61054</v>
      </c>
      <c r="CD12" s="3184">
        <v>64119</v>
      </c>
      <c r="CE12" s="3184">
        <v>52709</v>
      </c>
      <c r="CF12" s="3184">
        <v>49386</v>
      </c>
      <c r="CG12" s="3184">
        <v>52967</v>
      </c>
      <c r="CH12" s="3184">
        <v>56261</v>
      </c>
      <c r="CI12" s="3185">
        <v>64359</v>
      </c>
      <c r="CJ12" s="3186">
        <v>51688</v>
      </c>
      <c r="CK12" s="3187">
        <v>53622</v>
      </c>
      <c r="CL12" s="3187">
        <v>51748</v>
      </c>
      <c r="CM12" s="3187">
        <v>49570</v>
      </c>
      <c r="CN12" s="3187">
        <v>52174</v>
      </c>
      <c r="CO12" s="3187">
        <v>58795</v>
      </c>
      <c r="CP12" s="3187">
        <v>71099</v>
      </c>
      <c r="CQ12" s="3187">
        <v>57790</v>
      </c>
      <c r="CR12" s="3187">
        <v>55854</v>
      </c>
      <c r="CS12" s="3187">
        <v>59469</v>
      </c>
      <c r="CT12" s="3187">
        <v>63257</v>
      </c>
      <c r="CU12" s="3188">
        <v>77949</v>
      </c>
      <c r="CV12" s="3189">
        <v>58224</v>
      </c>
      <c r="CW12" s="3190">
        <v>53321</v>
      </c>
      <c r="CX12" s="3191">
        <v>59393</v>
      </c>
      <c r="CY12" s="3191">
        <v>53854</v>
      </c>
      <c r="CZ12" s="3191">
        <v>56638</v>
      </c>
      <c r="DA12" s="3191">
        <v>67138</v>
      </c>
      <c r="DB12" s="3191">
        <v>73006</v>
      </c>
      <c r="DC12" s="3191">
        <v>52994</v>
      </c>
      <c r="DD12" s="3192">
        <v>51643</v>
      </c>
      <c r="DE12" s="3191">
        <v>56449</v>
      </c>
      <c r="DF12" s="3148"/>
      <c r="DG12" s="3148"/>
      <c r="DH12" s="3193">
        <v>52833</v>
      </c>
      <c r="DI12" s="3194">
        <v>51438</v>
      </c>
      <c r="DJ12" s="3194">
        <v>54420</v>
      </c>
      <c r="DK12" s="3195">
        <v>40983</v>
      </c>
      <c r="DL12" s="3195">
        <v>46162</v>
      </c>
      <c r="DM12" s="3195">
        <v>61277</v>
      </c>
      <c r="DN12" s="3195">
        <v>66352</v>
      </c>
      <c r="DO12" s="3195">
        <v>47805</v>
      </c>
      <c r="DP12" s="3195">
        <v>40169</v>
      </c>
      <c r="DQ12" s="3195">
        <v>53831</v>
      </c>
      <c r="DR12" s="3195">
        <v>48311</v>
      </c>
      <c r="DS12" s="3196">
        <v>64045</v>
      </c>
      <c r="DT12" s="3197">
        <v>50614</v>
      </c>
      <c r="DU12" s="3197">
        <v>47432</v>
      </c>
      <c r="DV12" s="3197">
        <v>53021</v>
      </c>
      <c r="DW12" s="3197">
        <f>SUM(DW10:DW11)</f>
        <v>50208</v>
      </c>
      <c r="DX12" s="3197">
        <v>47035</v>
      </c>
      <c r="DY12" s="3197">
        <v>65866</v>
      </c>
      <c r="DZ12" s="3198"/>
      <c r="EA12" s="3198"/>
      <c r="EB12" s="3198"/>
      <c r="EC12" s="3198"/>
      <c r="ED12" s="3198"/>
      <c r="EE12" s="3198"/>
      <c r="EF12" s="3197">
        <v>50614</v>
      </c>
      <c r="EG12" s="3197">
        <v>47432</v>
      </c>
      <c r="EH12" s="3197">
        <v>53021</v>
      </c>
      <c r="EI12" s="3197">
        <f>SUM(EI10:EI11)</f>
        <v>50208</v>
      </c>
      <c r="EJ12" s="3197">
        <v>47035</v>
      </c>
      <c r="EK12" s="3197">
        <v>65866</v>
      </c>
      <c r="EL12" s="3198"/>
      <c r="EM12" s="3198"/>
      <c r="EN12" s="3198"/>
      <c r="EO12" s="3198"/>
      <c r="EP12" s="3198"/>
      <c r="EQ12" s="3198"/>
      <c r="ER12" s="3197">
        <v>50614</v>
      </c>
      <c r="ES12" s="3197">
        <v>47432</v>
      </c>
      <c r="ET12" s="3197">
        <v>53021</v>
      </c>
      <c r="EU12" s="3197">
        <f>SUM(EU10:EU11)</f>
        <v>50208</v>
      </c>
      <c r="EV12" s="3197">
        <v>47035</v>
      </c>
      <c r="EW12" s="3197">
        <v>65866</v>
      </c>
      <c r="EX12" s="3198"/>
      <c r="EY12" s="3198"/>
      <c r="EZ12" s="3198"/>
      <c r="FA12" s="3198"/>
      <c r="FB12" s="3198"/>
      <c r="FC12" s="3198"/>
      <c r="FD12" s="2669"/>
      <c r="FE12" s="2669"/>
      <c r="FF12" s="2669"/>
      <c r="FG12" s="2669"/>
      <c r="FH12" s="2669"/>
      <c r="FI12" s="2669"/>
      <c r="FJ12" s="2669"/>
      <c r="FK12" s="2669"/>
      <c r="FL12" s="2669"/>
      <c r="FM12" s="2669"/>
      <c r="FN12" s="2669"/>
      <c r="FO12" s="2669"/>
      <c r="FP12" s="2670"/>
      <c r="FQ12" s="2669"/>
      <c r="FR12" s="2669"/>
      <c r="FS12" s="2669"/>
      <c r="FT12" s="2669"/>
      <c r="FU12" s="2669"/>
      <c r="FV12" s="2669"/>
      <c r="FW12" s="2669"/>
      <c r="FX12" s="2669"/>
      <c r="FY12" s="2669"/>
      <c r="FZ12" s="2669"/>
      <c r="GA12" s="2669"/>
      <c r="GB12" s="2595"/>
      <c r="GC12" s="2569"/>
      <c r="GD12" s="2692">
        <v>91232</v>
      </c>
      <c r="GE12" s="2693">
        <v>96560</v>
      </c>
      <c r="GF12" s="2693">
        <v>123584</v>
      </c>
      <c r="GG12" s="2694">
        <v>106477</v>
      </c>
      <c r="GH12" s="2695">
        <v>118286</v>
      </c>
      <c r="GI12" s="2696">
        <v>112287</v>
      </c>
      <c r="GJ12" s="2696">
        <v>128378</v>
      </c>
      <c r="GK12" s="2697">
        <v>112548</v>
      </c>
      <c r="GL12" s="2698">
        <v>103141</v>
      </c>
      <c r="GM12" s="2699">
        <v>112730</v>
      </c>
      <c r="GN12" s="2699">
        <v>127941</v>
      </c>
      <c r="GO12" s="2699">
        <v>118053</v>
      </c>
      <c r="GP12" s="2700">
        <v>116475</v>
      </c>
      <c r="GQ12" s="2701">
        <v>114807</v>
      </c>
      <c r="GR12" s="2701">
        <v>125250</v>
      </c>
      <c r="GS12" s="2682">
        <v>117689</v>
      </c>
      <c r="GT12" s="2702">
        <v>112856</v>
      </c>
      <c r="GU12" s="2703">
        <v>121816</v>
      </c>
      <c r="GV12" s="2703">
        <v>128816</v>
      </c>
      <c r="GW12" s="2704">
        <v>123890</v>
      </c>
      <c r="GX12" s="2681">
        <v>114090</v>
      </c>
      <c r="GY12" s="2681">
        <v>131410</v>
      </c>
      <c r="GZ12" s="2681">
        <v>142127</v>
      </c>
      <c r="HA12" s="2681">
        <v>145831</v>
      </c>
      <c r="HB12" s="2686">
        <v>138338</v>
      </c>
      <c r="HC12" s="2686">
        <v>150791</v>
      </c>
      <c r="HD12" s="2686">
        <v>166214</v>
      </c>
      <c r="HE12" s="2686">
        <v>173587</v>
      </c>
      <c r="HF12" s="2687">
        <v>157058</v>
      </c>
      <c r="HG12" s="2687">
        <v>160539</v>
      </c>
      <c r="HH12" s="2687">
        <v>188358</v>
      </c>
      <c r="HI12" s="2687">
        <v>200675</v>
      </c>
      <c r="HJ12" s="2688">
        <v>170938</v>
      </c>
      <c r="HK12" s="2688">
        <v>166941</v>
      </c>
      <c r="HL12" s="2688">
        <v>182449</v>
      </c>
      <c r="HM12" s="2689">
        <f>+DH12+DI12+DJ12</f>
        <v>158691</v>
      </c>
      <c r="HN12" s="2689">
        <f>+DM12+DL12+DK12</f>
        <v>148422</v>
      </c>
      <c r="HO12" s="2689">
        <f>+DP12+DO12+DN12</f>
        <v>154326</v>
      </c>
      <c r="HP12" s="2689">
        <f>+DQ12+DR12+DS12</f>
        <v>166187</v>
      </c>
      <c r="HQ12" s="2690">
        <f>+DT12+DU12+DV12</f>
        <v>151067</v>
      </c>
      <c r="HR12" s="2690">
        <f>+DW12+DX12+DY12</f>
        <v>163109</v>
      </c>
      <c r="HS12" s="2570"/>
      <c r="HT12" s="2569"/>
      <c r="HU12" s="2681"/>
      <c r="HV12" s="2686"/>
      <c r="HW12" s="2686"/>
      <c r="HX12" s="2686"/>
      <c r="HY12" s="2681"/>
      <c r="HZ12" s="2686"/>
      <c r="IA12" s="2686"/>
      <c r="IB12" s="2686"/>
      <c r="IC12" s="2686"/>
      <c r="ID12" s="2686"/>
      <c r="IE12" s="2686"/>
      <c r="IF12" s="2686"/>
      <c r="IG12" s="2686"/>
      <c r="IH12" s="2686"/>
      <c r="II12" s="2686"/>
      <c r="IJ12" s="2686"/>
      <c r="IK12" s="2705">
        <v>417853</v>
      </c>
      <c r="IL12" s="3199">
        <v>471499</v>
      </c>
      <c r="IM12" s="3199">
        <v>461865</v>
      </c>
      <c r="IN12" s="3199">
        <v>474221</v>
      </c>
      <c r="IO12" s="3199">
        <v>487378</v>
      </c>
      <c r="IP12" s="3199">
        <v>533458</v>
      </c>
      <c r="IQ12" s="3199">
        <v>628930</v>
      </c>
      <c r="IR12" s="3167">
        <v>703015</v>
      </c>
      <c r="IS12" s="3168">
        <v>723866</v>
      </c>
      <c r="IT12" s="3168">
        <f>SUM(DI12:DT12)</f>
        <v>625407</v>
      </c>
      <c r="IU12" s="3169">
        <f>SUM(DO12:EE12)</f>
        <v>568337</v>
      </c>
      <c r="IV12" s="3099"/>
      <c r="IW12" s="3099"/>
      <c r="IX12" s="3099"/>
      <c r="IY12" s="3100"/>
      <c r="IZ12" s="3101"/>
      <c r="JA12" s="3578"/>
      <c r="JC12" s="3099"/>
      <c r="JD12" s="3045"/>
      <c r="JE12" s="3045"/>
      <c r="JF12" s="3045"/>
      <c r="JG12" s="3045"/>
      <c r="JH12" s="2566"/>
      <c r="JI12" s="3076"/>
      <c r="JJ12" s="2566"/>
      <c r="JK12" s="2566"/>
      <c r="JL12" s="2566"/>
      <c r="JM12" s="2566"/>
      <c r="JN12" s="2566"/>
      <c r="JO12" s="2566"/>
      <c r="JP12" s="2566"/>
      <c r="JQ12" s="2566"/>
      <c r="JS12" s="3045"/>
      <c r="JT12" s="3045"/>
      <c r="JU12" s="3045"/>
      <c r="JV12" s="3045"/>
      <c r="JW12" s="3045"/>
      <c r="JX12" s="3045"/>
      <c r="JY12" s="3045"/>
      <c r="JZ12" s="3045"/>
      <c r="KA12" s="3045"/>
      <c r="KB12" s="3045"/>
      <c r="KC12" s="3045"/>
      <c r="KD12" s="3045"/>
      <c r="KE12" s="3045"/>
      <c r="KF12" s="3045"/>
      <c r="KG12" s="3045"/>
      <c r="KH12" s="3045"/>
      <c r="KI12" s="3045"/>
      <c r="KJ12" s="3045"/>
      <c r="KK12" s="3045"/>
      <c r="KL12" s="3045"/>
      <c r="KM12" s="3045"/>
      <c r="KN12" s="3045"/>
      <c r="KO12" s="3045"/>
    </row>
    <row r="13" spans="1:301" ht="18.75" hidden="1" customHeight="1">
      <c r="A13" s="2566"/>
      <c r="B13" s="3045"/>
      <c r="C13" s="3200"/>
      <c r="D13" s="3201"/>
      <c r="E13" s="3201"/>
      <c r="F13" s="3201"/>
      <c r="G13" s="3201"/>
      <c r="H13" s="3201"/>
      <c r="I13" s="3201"/>
      <c r="J13" s="3201"/>
      <c r="K13" s="3201"/>
      <c r="L13" s="3201"/>
      <c r="M13" s="3202"/>
      <c r="N13" s="3202"/>
      <c r="O13" s="3202"/>
      <c r="P13" s="3203"/>
      <c r="Q13" s="3201"/>
      <c r="R13" s="3201"/>
      <c r="S13" s="3201"/>
      <c r="T13" s="3201"/>
      <c r="U13" s="3201"/>
      <c r="V13" s="3201"/>
      <c r="W13" s="3201"/>
      <c r="X13" s="3201"/>
      <c r="Y13" s="3202"/>
      <c r="Z13" s="3202"/>
      <c r="AA13" s="3202"/>
      <c r="AB13" s="3202"/>
      <c r="AC13" s="3202"/>
      <c r="AD13" s="3202"/>
      <c r="AE13" s="3202"/>
      <c r="AF13" s="3202"/>
      <c r="AG13" s="3202"/>
      <c r="AH13" s="3202"/>
      <c r="AI13" s="3202"/>
      <c r="AJ13" s="3202"/>
      <c r="AK13" s="3202"/>
      <c r="AL13" s="3202"/>
      <c r="AM13" s="3202"/>
      <c r="AN13" s="3203"/>
      <c r="AO13" s="3201"/>
      <c r="AP13" s="3204"/>
      <c r="AQ13" s="3201"/>
      <c r="AR13" s="3201"/>
      <c r="AS13" s="3204"/>
      <c r="AT13" s="3201"/>
      <c r="AU13" s="3201"/>
      <c r="AV13" s="3204"/>
      <c r="AW13" s="3202"/>
      <c r="AX13" s="3202"/>
      <c r="AY13" s="3204"/>
      <c r="AZ13" s="3203"/>
      <c r="BA13" s="3205"/>
      <c r="BB13" s="3205"/>
      <c r="BC13" s="3205"/>
      <c r="BD13" s="3205"/>
      <c r="BE13" s="3205"/>
      <c r="BF13" s="3205"/>
      <c r="BG13" s="3205"/>
      <c r="BH13" s="3205"/>
      <c r="BI13" s="3203"/>
      <c r="BJ13" s="3203"/>
      <c r="BK13" s="3203"/>
      <c r="BL13" s="3203"/>
      <c r="BM13" s="3203"/>
      <c r="BN13" s="3203"/>
      <c r="BO13" s="3203"/>
      <c r="BP13" s="3203"/>
      <c r="BQ13" s="3203"/>
      <c r="BR13" s="3203"/>
      <c r="BS13" s="3203"/>
      <c r="BT13" s="3203"/>
      <c r="BU13" s="3203"/>
      <c r="BV13" s="3203"/>
      <c r="BW13" s="3203"/>
      <c r="BX13" s="3203"/>
      <c r="BY13" s="3203"/>
      <c r="BZ13" s="3203"/>
      <c r="CA13" s="3203"/>
      <c r="CB13" s="3203"/>
      <c r="CC13" s="3203"/>
      <c r="CD13" s="3203"/>
      <c r="CE13" s="3203"/>
      <c r="CF13" s="3203"/>
      <c r="CG13" s="3203"/>
      <c r="CH13" s="3203"/>
      <c r="CI13" s="3203"/>
      <c r="CJ13" s="3203"/>
      <c r="CK13" s="3203"/>
      <c r="CL13" s="3203"/>
      <c r="CM13" s="3203"/>
      <c r="CN13" s="3203"/>
      <c r="CO13" s="3203"/>
      <c r="CP13" s="3203"/>
      <c r="CQ13" s="3203"/>
      <c r="CR13" s="3203"/>
      <c r="CS13" s="3203"/>
      <c r="CT13" s="3203"/>
      <c r="CU13" s="3203"/>
      <c r="CV13" s="3203"/>
      <c r="CW13" s="3203"/>
      <c r="CX13" s="3203"/>
      <c r="CY13" s="3203"/>
      <c r="CZ13" s="3203"/>
      <c r="DA13" s="3203"/>
      <c r="DB13" s="3203"/>
      <c r="DC13" s="3203"/>
      <c r="DD13" s="3203"/>
      <c r="DE13" s="3203"/>
      <c r="DF13" s="3203"/>
      <c r="DG13" s="3203"/>
      <c r="DH13" s="3206"/>
      <c r="DI13" s="3206"/>
      <c r="DJ13" s="3206"/>
      <c r="DK13" s="3206"/>
      <c r="DL13" s="3206"/>
      <c r="DM13" s="3206"/>
      <c r="DN13" s="3206"/>
      <c r="DO13" s="3206"/>
      <c r="DP13" s="3206"/>
      <c r="DQ13" s="3206"/>
      <c r="DR13" s="3206"/>
      <c r="DS13" s="3206"/>
      <c r="DT13" s="3207"/>
      <c r="DU13" s="3207"/>
      <c r="DV13" s="3207"/>
      <c r="DW13" s="3207"/>
      <c r="DX13" s="3207"/>
      <c r="DY13" s="3207"/>
      <c r="DZ13" s="3207"/>
      <c r="EA13" s="3207"/>
      <c r="EB13" s="3207"/>
      <c r="EC13" s="3207"/>
      <c r="ED13" s="3207"/>
      <c r="EE13" s="3207"/>
      <c r="EF13" s="3207"/>
      <c r="EG13" s="3207"/>
      <c r="EH13" s="3207"/>
      <c r="EI13" s="3207"/>
      <c r="EJ13" s="3207"/>
      <c r="EK13" s="3207"/>
      <c r="EL13" s="3207"/>
      <c r="EM13" s="3207"/>
      <c r="EN13" s="3207"/>
      <c r="EO13" s="3207"/>
      <c r="EP13" s="3207"/>
      <c r="EQ13" s="3207"/>
      <c r="ER13" s="3207"/>
      <c r="ES13" s="3207"/>
      <c r="ET13" s="3207"/>
      <c r="EU13" s="3207"/>
      <c r="EV13" s="3207"/>
      <c r="EW13" s="3207"/>
      <c r="EX13" s="3207"/>
      <c r="EY13" s="3207"/>
      <c r="EZ13" s="3207"/>
      <c r="FA13" s="3207"/>
      <c r="FB13" s="3207"/>
      <c r="FC13" s="3207"/>
      <c r="FD13" s="2593"/>
      <c r="FE13" s="2593"/>
      <c r="FF13" s="2593"/>
      <c r="FG13" s="2593"/>
      <c r="FH13" s="2593"/>
      <c r="FI13" s="2593"/>
      <c r="FJ13" s="2593"/>
      <c r="FK13" s="2593"/>
      <c r="FL13" s="2593"/>
      <c r="FM13" s="2593"/>
      <c r="FN13" s="2593"/>
      <c r="FO13" s="2593"/>
      <c r="FP13" s="2594"/>
      <c r="FQ13" s="2593"/>
      <c r="FR13" s="2593"/>
      <c r="FS13" s="2593"/>
      <c r="FT13" s="2593"/>
      <c r="FU13" s="2593"/>
      <c r="FV13" s="2593"/>
      <c r="FW13" s="2593"/>
      <c r="FX13" s="2593"/>
      <c r="FY13" s="2593"/>
      <c r="FZ13" s="2593"/>
      <c r="GA13" s="2593"/>
      <c r="GB13" s="2595"/>
      <c r="GC13" s="2569"/>
      <c r="GD13" s="2573"/>
      <c r="GE13" s="2573"/>
      <c r="GF13" s="2573"/>
      <c r="GG13" s="2573"/>
      <c r="GH13" s="2573"/>
      <c r="GI13" s="2573"/>
      <c r="GJ13" s="2573"/>
      <c r="GK13" s="2573"/>
      <c r="GL13" s="2573"/>
      <c r="GM13" s="2573"/>
      <c r="GN13" s="2573"/>
      <c r="GO13" s="2573"/>
      <c r="GP13" s="2573"/>
      <c r="GQ13" s="2573"/>
      <c r="GR13" s="2573"/>
      <c r="GS13" s="2573"/>
      <c r="GT13" s="2573"/>
      <c r="GU13" s="2573"/>
      <c r="GV13" s="2706"/>
      <c r="GW13" s="2573"/>
      <c r="GX13" s="2569"/>
      <c r="GY13" s="2569"/>
      <c r="GZ13" s="2569"/>
      <c r="HA13" s="2569"/>
      <c r="HB13" s="2571"/>
      <c r="HC13" s="2571"/>
      <c r="HD13" s="2571"/>
      <c r="HE13" s="2707" t="s">
        <v>462</v>
      </c>
      <c r="HF13" s="2571">
        <v>13.532073616793653</v>
      </c>
      <c r="HG13" s="2571">
        <v>6.4645767983500377</v>
      </c>
      <c r="HH13" s="2571">
        <v>13.322584138520213</v>
      </c>
      <c r="HI13" s="2571">
        <v>15.604855202290494</v>
      </c>
      <c r="HJ13" s="2571">
        <v>8.8374995224694146</v>
      </c>
      <c r="HK13" s="2571">
        <v>3.9878160446994286</v>
      </c>
      <c r="HL13" s="2571">
        <v>-3.1371112456067749</v>
      </c>
      <c r="HM13" s="2572">
        <f t="shared" ref="HM13:HR13" si="0">+HM12/HI12*100-100</f>
        <v>-20.921390307711476</v>
      </c>
      <c r="HN13" s="2572">
        <f t="shared" si="0"/>
        <v>-13.17202728474652</v>
      </c>
      <c r="HO13" s="2572">
        <f t="shared" si="0"/>
        <v>-7.5565618991140582</v>
      </c>
      <c r="HP13" s="2572">
        <f t="shared" si="0"/>
        <v>-8.9131757367812412</v>
      </c>
      <c r="HQ13" s="2572">
        <f t="shared" si="0"/>
        <v>-4.8043052220982929</v>
      </c>
      <c r="HR13" s="2572">
        <f t="shared" si="0"/>
        <v>9.8954332915605505</v>
      </c>
      <c r="HS13" s="2570"/>
      <c r="HT13" s="2569"/>
      <c r="HU13" s="2569"/>
      <c r="HV13" s="2571"/>
      <c r="HW13" s="2571"/>
      <c r="HX13" s="2571"/>
      <c r="HY13" s="2569"/>
      <c r="HZ13" s="2571"/>
      <c r="IA13" s="2571"/>
      <c r="IB13" s="2571"/>
      <c r="IC13" s="2571"/>
      <c r="ID13" s="2571"/>
      <c r="IE13" s="2571"/>
      <c r="IF13" s="2571"/>
      <c r="IG13" s="2571"/>
      <c r="IH13" s="2571"/>
      <c r="II13" s="2571"/>
      <c r="IJ13" s="2571"/>
      <c r="IK13" s="2708" t="s">
        <v>463</v>
      </c>
      <c r="IL13" s="3208">
        <v>12.838486261915079</v>
      </c>
      <c r="IM13" s="3208">
        <v>-2.043270505345717</v>
      </c>
      <c r="IN13" s="3208">
        <v>2.6752406006083902</v>
      </c>
      <c r="IO13" s="3208">
        <v>2.7744448263573389</v>
      </c>
      <c r="IP13" s="3208">
        <v>9.4546737850292857</v>
      </c>
      <c r="IQ13" s="3208">
        <v>17.896816619115285</v>
      </c>
      <c r="IR13" s="3208">
        <v>11.779530313389415</v>
      </c>
      <c r="IS13" s="3209">
        <v>2.9659395603223118</v>
      </c>
      <c r="IT13" s="3209">
        <f>+IT12/IS12*100-100</f>
        <v>-13.601826857457041</v>
      </c>
      <c r="IU13" s="3210">
        <f>+IU12/IT12*100-100</f>
        <v>-9.1252576322298893</v>
      </c>
      <c r="IV13" s="3099"/>
      <c r="IW13" s="3099"/>
      <c r="IX13" s="3099"/>
      <c r="IY13" s="3100"/>
      <c r="IZ13" s="3101"/>
      <c r="JA13" s="3578"/>
      <c r="JC13" s="3099"/>
      <c r="JD13" s="3045"/>
      <c r="JE13" s="3045"/>
      <c r="JF13" s="3045"/>
      <c r="JG13" s="3045"/>
      <c r="JH13" s="2566"/>
      <c r="JI13" s="3076"/>
      <c r="JJ13" s="2566"/>
      <c r="JK13" s="2566"/>
      <c r="JL13" s="2566"/>
      <c r="JM13" s="2566"/>
      <c r="JN13" s="2566"/>
      <c r="JO13" s="2566"/>
      <c r="JP13" s="2566"/>
      <c r="JQ13" s="2566"/>
      <c r="JS13" s="3045"/>
      <c r="JT13" s="3045"/>
      <c r="JU13" s="3045"/>
      <c r="JV13" s="3045"/>
      <c r="JW13" s="3045"/>
      <c r="JX13" s="3045"/>
      <c r="JY13" s="3045"/>
      <c r="JZ13" s="3045"/>
      <c r="KA13" s="3045"/>
      <c r="KB13" s="3045"/>
      <c r="KC13" s="3045"/>
      <c r="KD13" s="3045"/>
      <c r="KE13" s="3045"/>
      <c r="KF13" s="3045"/>
      <c r="KG13" s="3045"/>
      <c r="KH13" s="3045"/>
      <c r="KI13" s="3045"/>
      <c r="KJ13" s="3045"/>
      <c r="KK13" s="3045"/>
      <c r="KL13" s="3045"/>
      <c r="KM13" s="3045"/>
      <c r="KN13" s="3045"/>
      <c r="KO13" s="3045"/>
    </row>
    <row r="14" spans="1:301" ht="19.5" hidden="1" customHeight="1" thickBot="1">
      <c r="A14" s="2566"/>
      <c r="B14" s="2566"/>
      <c r="C14" s="3200"/>
      <c r="D14" s="3211"/>
      <c r="E14" s="3211"/>
      <c r="F14" s="3211"/>
      <c r="G14" s="3211"/>
      <c r="H14" s="3211"/>
      <c r="I14" s="3211"/>
      <c r="J14" s="3211"/>
      <c r="K14" s="3211"/>
      <c r="L14" s="3211"/>
      <c r="M14" s="3211"/>
      <c r="N14" s="3211"/>
      <c r="O14" s="3211"/>
      <c r="P14" s="3211"/>
      <c r="Q14" s="3211"/>
      <c r="R14" s="3211"/>
      <c r="S14" s="3211"/>
      <c r="T14" s="3211"/>
      <c r="U14" s="3211"/>
      <c r="V14" s="3211"/>
      <c r="W14" s="3211"/>
      <c r="X14" s="3211"/>
      <c r="Y14" s="3211"/>
      <c r="Z14" s="3211"/>
      <c r="AA14" s="3211"/>
      <c r="AB14" s="3202"/>
      <c r="AC14" s="3202"/>
      <c r="AD14" s="3202"/>
      <c r="AE14" s="3202"/>
      <c r="AF14" s="3202" t="s">
        <v>1356</v>
      </c>
      <c r="AG14" s="3202"/>
      <c r="AH14" s="3202"/>
      <c r="AI14" s="3202"/>
      <c r="AJ14" s="3202"/>
      <c r="AK14" s="3202"/>
      <c r="AL14" s="3202"/>
      <c r="AM14" s="3202"/>
      <c r="AN14" s="3211"/>
      <c r="AO14" s="3211"/>
      <c r="AP14" s="3211"/>
      <c r="AQ14" s="3211"/>
      <c r="AR14" s="3211"/>
      <c r="AS14" s="3211"/>
      <c r="AT14" s="3211"/>
      <c r="AU14" s="3211"/>
      <c r="AV14" s="3211"/>
      <c r="AW14" s="3211"/>
      <c r="AX14" s="3204"/>
      <c r="AY14" s="3201"/>
      <c r="AZ14" s="3211"/>
      <c r="BA14" s="3211"/>
      <c r="BB14" s="3211"/>
      <c r="BC14" s="3211"/>
      <c r="BD14" s="3211"/>
      <c r="BE14" s="3211"/>
      <c r="BF14" s="3211"/>
      <c r="BG14" s="3211"/>
      <c r="BH14" s="3211"/>
      <c r="BI14" s="3211"/>
      <c r="BJ14" s="3211"/>
      <c r="BK14" s="3211"/>
      <c r="BL14" s="3211"/>
      <c r="BM14" s="3211"/>
      <c r="BN14" s="3211"/>
      <c r="BO14" s="3211"/>
      <c r="BP14" s="3211"/>
      <c r="BQ14" s="3211"/>
      <c r="BR14" s="3211"/>
      <c r="BS14" s="3211"/>
      <c r="BT14" s="3211"/>
      <c r="BU14" s="3211"/>
      <c r="BV14" s="3211"/>
      <c r="BW14" s="3211"/>
      <c r="BX14" s="3211"/>
      <c r="BY14" s="3211"/>
      <c r="BZ14" s="3211"/>
      <c r="CA14" s="3211"/>
      <c r="CB14" s="3211"/>
      <c r="CC14" s="3211"/>
      <c r="CD14" s="3211"/>
      <c r="CE14" s="3211"/>
      <c r="CF14" s="3211"/>
      <c r="CG14" s="3211"/>
      <c r="CH14" s="3211"/>
      <c r="CI14" s="3211"/>
      <c r="CJ14" s="3211"/>
      <c r="CK14" s="3211"/>
      <c r="CL14" s="3211"/>
      <c r="CM14" s="3211"/>
      <c r="CN14" s="3211"/>
      <c r="CO14" s="3211"/>
      <c r="CP14" s="3211"/>
      <c r="CQ14" s="3211"/>
      <c r="CR14" s="3211"/>
      <c r="CS14" s="3211"/>
      <c r="CT14" s="3211"/>
      <c r="CU14" s="3211"/>
      <c r="CV14" s="3211"/>
      <c r="CW14" s="3211"/>
      <c r="CX14" s="3211"/>
      <c r="CY14" s="3211"/>
      <c r="CZ14" s="3211"/>
      <c r="DA14" s="3211"/>
      <c r="DB14" s="3211"/>
      <c r="DC14" s="3211"/>
      <c r="DD14" s="3211"/>
      <c r="DE14" s="3203"/>
      <c r="DF14" s="3203"/>
      <c r="DG14" s="3203"/>
      <c r="DH14" s="2529"/>
      <c r="DI14" s="2529"/>
      <c r="DJ14" s="2529"/>
      <c r="DK14" s="2529"/>
      <c r="DL14" s="2529"/>
      <c r="DM14" s="2529"/>
      <c r="DN14" s="2529"/>
      <c r="DO14" s="2529"/>
      <c r="DP14" s="2529"/>
      <c r="DQ14" s="2529"/>
      <c r="DR14" s="2529"/>
      <c r="DS14" s="2529"/>
      <c r="DT14" s="3206"/>
      <c r="DU14" s="3206"/>
      <c r="DV14" s="3206"/>
      <c r="DW14" s="3206"/>
      <c r="DX14" s="3206"/>
      <c r="DY14" s="3206"/>
      <c r="DZ14" s="3206"/>
      <c r="EA14" s="3206"/>
      <c r="EB14" s="3206"/>
      <c r="EC14" s="3206"/>
      <c r="ED14" s="3206"/>
      <c r="EE14" s="3206"/>
      <c r="EF14" s="3206"/>
      <c r="EG14" s="3206"/>
      <c r="EH14" s="3206"/>
      <c r="EI14" s="3206"/>
      <c r="EJ14" s="3206"/>
      <c r="EK14" s="3206"/>
      <c r="EL14" s="3206"/>
      <c r="EM14" s="3206"/>
      <c r="EN14" s="3206"/>
      <c r="EO14" s="3206"/>
      <c r="EP14" s="3206"/>
      <c r="EQ14" s="3206"/>
      <c r="ER14" s="3206"/>
      <c r="ES14" s="3206"/>
      <c r="ET14" s="3206"/>
      <c r="EU14" s="3206"/>
      <c r="EV14" s="3206"/>
      <c r="EW14" s="3206"/>
      <c r="EX14" s="3206"/>
      <c r="EY14" s="3206"/>
      <c r="EZ14" s="3206"/>
      <c r="FA14" s="3206"/>
      <c r="FB14" s="3206"/>
      <c r="FC14" s="3206"/>
      <c r="FD14" s="2593"/>
      <c r="FE14" s="2593"/>
      <c r="FF14" s="2593"/>
      <c r="FG14" s="2593"/>
      <c r="FH14" s="2593"/>
      <c r="FI14" s="2593"/>
      <c r="FJ14" s="2593"/>
      <c r="FK14" s="2593"/>
      <c r="FL14" s="2593"/>
      <c r="FM14" s="2593"/>
      <c r="FN14" s="2593"/>
      <c r="FO14" s="2593"/>
      <c r="FP14" s="2594"/>
      <c r="FQ14" s="2593"/>
      <c r="FR14" s="2593"/>
      <c r="FS14" s="2593"/>
      <c r="FT14" s="2593"/>
      <c r="FU14" s="2593"/>
      <c r="FV14" s="2593"/>
      <c r="FW14" s="2593"/>
      <c r="FX14" s="2593"/>
      <c r="FY14" s="2593"/>
      <c r="FZ14" s="2593"/>
      <c r="GA14" s="2593"/>
      <c r="GB14" s="2595"/>
      <c r="GC14" s="2569"/>
      <c r="GD14" s="2573"/>
      <c r="GE14" s="2573"/>
      <c r="GF14" s="2573"/>
      <c r="GG14" s="2573"/>
      <c r="GH14" s="2573"/>
      <c r="GI14" s="2573"/>
      <c r="GJ14" s="2573"/>
      <c r="GK14" s="2573"/>
      <c r="GL14" s="2573"/>
      <c r="GM14" s="2573"/>
      <c r="GN14" s="2574"/>
      <c r="GO14" s="2573"/>
      <c r="GP14" s="2573"/>
      <c r="GQ14" s="2573"/>
      <c r="GR14" s="2575"/>
      <c r="GS14" s="2573"/>
      <c r="GT14" s="2573"/>
      <c r="GU14" s="2573"/>
      <c r="GV14" s="2573"/>
      <c r="GW14" s="2573"/>
      <c r="GX14" s="2569"/>
      <c r="GY14" s="2569"/>
      <c r="GZ14" s="2569"/>
      <c r="HA14" s="2569"/>
      <c r="HB14" s="2569"/>
      <c r="HC14" s="2569"/>
      <c r="HD14" s="2569"/>
      <c r="HE14" s="2569"/>
      <c r="HF14" s="2569"/>
      <c r="HG14" s="2569"/>
      <c r="HH14" s="2569"/>
      <c r="HI14" s="2569"/>
      <c r="HJ14" s="2569"/>
      <c r="HK14" s="2569"/>
      <c r="HL14" s="2569"/>
      <c r="HM14" s="2570"/>
      <c r="HN14" s="2570"/>
      <c r="HO14" s="2570"/>
      <c r="HP14" s="2570"/>
      <c r="HQ14" s="2570"/>
      <c r="HR14" s="2570"/>
      <c r="HS14" s="2570"/>
      <c r="HT14" s="2569"/>
      <c r="HU14" s="2569"/>
      <c r="HV14" s="2569"/>
      <c r="HW14" s="2569"/>
      <c r="HX14" s="2569"/>
      <c r="HY14" s="2569"/>
      <c r="HZ14" s="2569"/>
      <c r="IA14" s="2569"/>
      <c r="IB14" s="2569"/>
      <c r="IC14" s="2569"/>
      <c r="ID14" s="2569"/>
      <c r="IE14" s="2569"/>
      <c r="IF14" s="2569"/>
      <c r="IG14" s="2569"/>
      <c r="IH14" s="2569"/>
      <c r="II14" s="2569"/>
      <c r="IJ14" s="2569"/>
      <c r="IK14" s="2596"/>
      <c r="IL14" s="3212"/>
      <c r="IM14" s="3212"/>
      <c r="IN14" s="3212"/>
      <c r="IO14" s="3212"/>
      <c r="IP14" s="3212"/>
      <c r="IQ14" s="3212"/>
      <c r="IR14" s="3212"/>
      <c r="IS14" s="3212"/>
      <c r="IT14" s="3212"/>
      <c r="IU14" s="3213"/>
      <c r="IV14" s="3099"/>
      <c r="IW14" s="3099"/>
      <c r="IX14" s="3099"/>
      <c r="IY14" s="3100"/>
      <c r="IZ14" s="3101"/>
      <c r="JA14" s="3578"/>
      <c r="JC14" s="3099"/>
      <c r="JD14" s="2566"/>
      <c r="JE14" s="2566"/>
      <c r="JF14" s="2566"/>
      <c r="JG14" s="2566"/>
      <c r="JH14" s="2566"/>
      <c r="JI14" s="3076"/>
      <c r="JJ14" s="2566"/>
      <c r="JK14" s="2566"/>
      <c r="JL14" s="2566"/>
      <c r="JM14" s="2566"/>
      <c r="JN14" s="2566"/>
      <c r="JO14" s="2566"/>
      <c r="JP14" s="2566"/>
      <c r="JQ14" s="2566"/>
      <c r="JS14" s="2566"/>
      <c r="JT14" s="2566"/>
      <c r="JU14" s="2566"/>
      <c r="JV14" s="2566"/>
      <c r="JW14" s="2566"/>
      <c r="JX14" s="2566"/>
      <c r="JY14" s="2566"/>
      <c r="JZ14" s="2566"/>
      <c r="KA14" s="2566"/>
      <c r="KB14" s="2566"/>
      <c r="KC14" s="2566"/>
      <c r="KD14" s="2566"/>
      <c r="KE14" s="2566"/>
      <c r="KF14" s="2566"/>
      <c r="KG14" s="2566"/>
      <c r="KH14" s="2566"/>
      <c r="KI14" s="2566"/>
      <c r="KJ14" s="2566"/>
      <c r="KK14" s="2566"/>
      <c r="KL14" s="2566"/>
      <c r="KM14" s="2566"/>
      <c r="KN14" s="2566"/>
      <c r="KO14" s="2566"/>
    </row>
    <row r="15" spans="1:301" ht="18" hidden="1" customHeight="1">
      <c r="A15" s="2566"/>
      <c r="B15" s="2566"/>
      <c r="C15" s="3085" t="s">
        <v>451</v>
      </c>
      <c r="D15" s="5488">
        <v>2007</v>
      </c>
      <c r="E15" s="5488"/>
      <c r="F15" s="5488"/>
      <c r="G15" s="5488"/>
      <c r="H15" s="5488"/>
      <c r="I15" s="5488"/>
      <c r="J15" s="5488"/>
      <c r="K15" s="5488"/>
      <c r="L15" s="5488"/>
      <c r="M15" s="5488"/>
      <c r="N15" s="5511"/>
      <c r="O15" s="5489"/>
      <c r="P15" s="5490">
        <v>2008</v>
      </c>
      <c r="Q15" s="5491"/>
      <c r="R15" s="5491"/>
      <c r="S15" s="5491"/>
      <c r="T15" s="5491"/>
      <c r="U15" s="5491"/>
      <c r="V15" s="5491"/>
      <c r="W15" s="5491"/>
      <c r="X15" s="5491"/>
      <c r="Y15" s="5491"/>
      <c r="Z15" s="5491"/>
      <c r="AA15" s="5491"/>
      <c r="AB15" s="5492">
        <v>2009</v>
      </c>
      <c r="AC15" s="5493"/>
      <c r="AD15" s="5493"/>
      <c r="AE15" s="5493"/>
      <c r="AF15" s="5493"/>
      <c r="AG15" s="5493"/>
      <c r="AH15" s="5493"/>
      <c r="AI15" s="5493"/>
      <c r="AJ15" s="5493"/>
      <c r="AK15" s="5493"/>
      <c r="AL15" s="5493"/>
      <c r="AM15" s="5494"/>
      <c r="AN15" s="5495">
        <v>2010</v>
      </c>
      <c r="AO15" s="5496"/>
      <c r="AP15" s="5496"/>
      <c r="AQ15" s="5496"/>
      <c r="AR15" s="5496"/>
      <c r="AS15" s="5496"/>
      <c r="AT15" s="5496"/>
      <c r="AU15" s="5496"/>
      <c r="AV15" s="5496"/>
      <c r="AW15" s="5496"/>
      <c r="AX15" s="5496"/>
      <c r="AY15" s="5496"/>
      <c r="AZ15" s="5497">
        <v>2011</v>
      </c>
      <c r="BA15" s="5498"/>
      <c r="BB15" s="5498"/>
      <c r="BC15" s="5498"/>
      <c r="BD15" s="5498"/>
      <c r="BE15" s="5498"/>
      <c r="BF15" s="5498"/>
      <c r="BG15" s="5498"/>
      <c r="BH15" s="5498"/>
      <c r="BI15" s="5498"/>
      <c r="BJ15" s="5498"/>
      <c r="BK15" s="5499"/>
      <c r="BL15" s="5500">
        <v>2012</v>
      </c>
      <c r="BM15" s="5501"/>
      <c r="BN15" s="5501"/>
      <c r="BO15" s="3604"/>
      <c r="BP15" s="3604"/>
      <c r="BQ15" s="3604"/>
      <c r="BR15" s="3604"/>
      <c r="BS15" s="3604"/>
      <c r="BT15" s="3086"/>
      <c r="BU15" s="3086"/>
      <c r="BV15" s="3086"/>
      <c r="BW15" s="3214"/>
      <c r="BX15" s="3215">
        <v>2013</v>
      </c>
      <c r="BY15" s="3216"/>
      <c r="BZ15" s="3216"/>
      <c r="CA15" s="3216"/>
      <c r="CB15" s="3216"/>
      <c r="CC15" s="3216"/>
      <c r="CD15" s="3216"/>
      <c r="CE15" s="3216"/>
      <c r="CF15" s="3216"/>
      <c r="CG15" s="3216"/>
      <c r="CH15" s="3216"/>
      <c r="CI15" s="3216"/>
      <c r="CJ15" s="3090">
        <v>2014</v>
      </c>
      <c r="CK15" s="3091"/>
      <c r="CL15" s="3091"/>
      <c r="CM15" s="3091"/>
      <c r="CN15" s="3091"/>
      <c r="CO15" s="3091"/>
      <c r="CP15" s="3091"/>
      <c r="CQ15" s="3091"/>
      <c r="CR15" s="3091"/>
      <c r="CS15" s="3091"/>
      <c r="CT15" s="3091"/>
      <c r="CU15" s="3092"/>
      <c r="CV15" s="3093">
        <v>2015</v>
      </c>
      <c r="CW15" s="3094"/>
      <c r="CX15" s="3094"/>
      <c r="CY15" s="3094"/>
      <c r="CZ15" s="3094"/>
      <c r="DA15" s="3094"/>
      <c r="DB15" s="3094"/>
      <c r="DC15" s="3094"/>
      <c r="DD15" s="3094"/>
      <c r="DE15" s="3217"/>
      <c r="DF15" s="3095"/>
      <c r="DG15" s="3095"/>
      <c r="DH15" s="5502">
        <v>2016</v>
      </c>
      <c r="DI15" s="5503"/>
      <c r="DJ15" s="5503"/>
      <c r="DK15" s="5503"/>
      <c r="DL15" s="5503"/>
      <c r="DM15" s="5503"/>
      <c r="DN15" s="5503"/>
      <c r="DO15" s="5503"/>
      <c r="DP15" s="5503"/>
      <c r="DQ15" s="5503"/>
      <c r="DR15" s="5503"/>
      <c r="DS15" s="5504"/>
      <c r="DT15" s="3218">
        <v>2017</v>
      </c>
      <c r="DU15" s="3218"/>
      <c r="DV15" s="3218"/>
      <c r="DW15" s="3218"/>
      <c r="DX15" s="3218"/>
      <c r="DY15" s="3218"/>
      <c r="DZ15" s="3219"/>
      <c r="EA15" s="3219"/>
      <c r="EB15" s="3219"/>
      <c r="EC15" s="3219"/>
      <c r="ED15" s="3219"/>
      <c r="EE15" s="3219"/>
      <c r="EF15" s="3218">
        <v>2017</v>
      </c>
      <c r="EG15" s="3218"/>
      <c r="EH15" s="3218"/>
      <c r="EI15" s="3218"/>
      <c r="EJ15" s="3218"/>
      <c r="EK15" s="3218"/>
      <c r="EL15" s="3219"/>
      <c r="EM15" s="3219"/>
      <c r="EN15" s="3219"/>
      <c r="EO15" s="3219"/>
      <c r="EP15" s="3219"/>
      <c r="EQ15" s="3219"/>
      <c r="ER15" s="3218">
        <v>2017</v>
      </c>
      <c r="ES15" s="3218"/>
      <c r="ET15" s="3218"/>
      <c r="EU15" s="3218"/>
      <c r="EV15" s="3218"/>
      <c r="EW15" s="3218"/>
      <c r="EX15" s="3219"/>
      <c r="EY15" s="3219"/>
      <c r="EZ15" s="3219"/>
      <c r="FA15" s="3219"/>
      <c r="FB15" s="3219"/>
      <c r="FC15" s="3219"/>
      <c r="FD15" s="2591"/>
      <c r="FE15" s="2591"/>
      <c r="FF15" s="2591"/>
      <c r="FG15" s="2591"/>
      <c r="FH15" s="2591"/>
      <c r="FI15" s="2591"/>
      <c r="FJ15" s="2591"/>
      <c r="FK15" s="2591"/>
      <c r="FL15" s="2591"/>
      <c r="FM15" s="2591"/>
      <c r="FN15" s="2591"/>
      <c r="FO15" s="2591"/>
      <c r="FP15" s="2590"/>
      <c r="FQ15" s="2591"/>
      <c r="FR15" s="2591"/>
      <c r="FS15" s="2591"/>
      <c r="FT15" s="2591"/>
      <c r="FU15" s="2591"/>
      <c r="FV15" s="2591"/>
      <c r="FW15" s="2591"/>
      <c r="FX15" s="2591"/>
      <c r="FY15" s="2591"/>
      <c r="FZ15" s="2591"/>
      <c r="GA15" s="2591"/>
      <c r="GB15" s="2592"/>
      <c r="GC15" s="2569"/>
      <c r="GD15" s="5505">
        <v>2007</v>
      </c>
      <c r="GE15" s="5506"/>
      <c r="GF15" s="5506"/>
      <c r="GG15" s="5506"/>
      <c r="GH15" s="5507">
        <v>2008</v>
      </c>
      <c r="GI15" s="5508"/>
      <c r="GJ15" s="5508"/>
      <c r="GK15" s="5509"/>
      <c r="GL15" s="5478">
        <v>2009</v>
      </c>
      <c r="GM15" s="5479"/>
      <c r="GN15" s="5479"/>
      <c r="GO15" s="5479"/>
      <c r="GP15" s="5480">
        <v>2010</v>
      </c>
      <c r="GQ15" s="5481"/>
      <c r="GR15" s="5481"/>
      <c r="GS15" s="5482"/>
      <c r="GT15" s="5483">
        <v>2011</v>
      </c>
      <c r="GU15" s="5484"/>
      <c r="GV15" s="5484"/>
      <c r="GW15" s="5485"/>
      <c r="GX15" s="5510">
        <v>2012</v>
      </c>
      <c r="GY15" s="5486"/>
      <c r="GZ15" s="5486"/>
      <c r="HA15" s="5486"/>
      <c r="HB15" s="2643">
        <v>2013</v>
      </c>
      <c r="HC15" s="2643"/>
      <c r="HD15" s="2643"/>
      <c r="HE15" s="2643"/>
      <c r="HF15" s="2653">
        <v>2014</v>
      </c>
      <c r="HG15" s="2653"/>
      <c r="HH15" s="2653"/>
      <c r="HI15" s="2653"/>
      <c r="HJ15" s="2645">
        <v>2015</v>
      </c>
      <c r="HK15" s="2645"/>
      <c r="HL15" s="2645"/>
      <c r="HM15" s="2646">
        <v>2016</v>
      </c>
      <c r="HN15" s="2646"/>
      <c r="HO15" s="2646"/>
      <c r="HP15" s="2646"/>
      <c r="HQ15" s="2647">
        <v>2017</v>
      </c>
      <c r="HR15" s="2647"/>
      <c r="HS15" s="2570"/>
      <c r="HT15" s="2569"/>
      <c r="HU15" s="2569"/>
      <c r="HV15" s="2643"/>
      <c r="HW15" s="2643"/>
      <c r="HX15" s="2643"/>
      <c r="HY15" s="2569"/>
      <c r="HZ15" s="2643"/>
      <c r="IA15" s="2643"/>
      <c r="IB15" s="2643"/>
      <c r="IC15" s="2643"/>
      <c r="ID15" s="2643"/>
      <c r="IE15" s="2643"/>
      <c r="IF15" s="2643"/>
      <c r="IG15" s="2643"/>
      <c r="IH15" s="2643"/>
      <c r="II15" s="2643"/>
      <c r="IJ15" s="2643"/>
      <c r="IK15" s="2648">
        <v>2007</v>
      </c>
      <c r="IL15" s="3098">
        <v>2008</v>
      </c>
      <c r="IM15" s="3098">
        <v>2009</v>
      </c>
      <c r="IN15" s="3098">
        <v>2010</v>
      </c>
      <c r="IO15" s="3098">
        <v>2011</v>
      </c>
      <c r="IP15" s="3098">
        <v>2012</v>
      </c>
      <c r="IQ15" s="3098">
        <v>2013</v>
      </c>
      <c r="IR15" s="3098">
        <v>2014</v>
      </c>
      <c r="IS15" s="5487" t="s">
        <v>452</v>
      </c>
      <c r="IT15" s="5487">
        <v>2016</v>
      </c>
      <c r="IU15" s="5475" t="str">
        <f>+IU7</f>
        <v>jul 2016 - jun 2017</v>
      </c>
      <c r="IV15" s="3099"/>
      <c r="IW15" s="3099"/>
      <c r="IX15" s="3099"/>
      <c r="IY15" s="3100"/>
      <c r="IZ15" s="3101"/>
      <c r="JA15" s="3578"/>
      <c r="JC15" s="3099"/>
      <c r="JD15" s="2566"/>
      <c r="JE15" s="2566"/>
      <c r="JF15" s="2566"/>
      <c r="JG15" s="2566"/>
      <c r="JH15" s="2566"/>
      <c r="JI15" s="3076"/>
      <c r="JJ15" s="2566"/>
      <c r="JK15" s="2566"/>
      <c r="JL15" s="2566"/>
      <c r="JM15" s="2566"/>
      <c r="JN15" s="2566"/>
      <c r="JO15" s="2566"/>
      <c r="JP15" s="2566"/>
      <c r="JQ15" s="2566"/>
      <c r="JS15" s="2566"/>
      <c r="JT15" s="2566"/>
      <c r="JU15" s="2566"/>
      <c r="JV15" s="2566"/>
      <c r="JW15" s="2566"/>
      <c r="JX15" s="2566"/>
      <c r="JY15" s="2566"/>
      <c r="JZ15" s="2566"/>
      <c r="KA15" s="2566"/>
      <c r="KB15" s="2566"/>
      <c r="KC15" s="2566"/>
      <c r="KD15" s="2566"/>
      <c r="KE15" s="2566"/>
      <c r="KF15" s="2566"/>
      <c r="KG15" s="2566"/>
      <c r="KH15" s="2566"/>
      <c r="KI15" s="2566"/>
      <c r="KJ15" s="2566"/>
      <c r="KK15" s="2566"/>
      <c r="KL15" s="2566"/>
      <c r="KM15" s="2566"/>
      <c r="KN15" s="2566"/>
      <c r="KO15" s="2566"/>
    </row>
    <row r="16" spans="1:301" ht="6.75" hidden="1" customHeight="1">
      <c r="A16" s="2566"/>
      <c r="B16" s="2566"/>
      <c r="C16" s="3102"/>
      <c r="D16" s="3095"/>
      <c r="E16" s="3095"/>
      <c r="F16" s="3095"/>
      <c r="G16" s="3095"/>
      <c r="H16" s="3095"/>
      <c r="I16" s="3095"/>
      <c r="J16" s="3095"/>
      <c r="K16" s="3095"/>
      <c r="L16" s="3095"/>
      <c r="M16" s="3095"/>
      <c r="N16" s="3095"/>
      <c r="O16" s="3095"/>
      <c r="P16" s="3103"/>
      <c r="Q16" s="3095"/>
      <c r="R16" s="3095"/>
      <c r="S16" s="3095"/>
      <c r="T16" s="3095"/>
      <c r="U16" s="3095"/>
      <c r="V16" s="3095"/>
      <c r="W16" s="3095"/>
      <c r="X16" s="3095"/>
      <c r="Y16" s="3095"/>
      <c r="Z16" s="3095"/>
      <c r="AA16" s="3095"/>
      <c r="AB16" s="3095"/>
      <c r="AC16" s="3095"/>
      <c r="AD16" s="3095"/>
      <c r="AE16" s="3095"/>
      <c r="AF16" s="3095"/>
      <c r="AG16" s="3095"/>
      <c r="AH16" s="3095"/>
      <c r="AI16" s="3095"/>
      <c r="AJ16" s="3095"/>
      <c r="AK16" s="3095"/>
      <c r="AL16" s="3095"/>
      <c r="AM16" s="3095"/>
      <c r="AN16" s="3095"/>
      <c r="AO16" s="3095"/>
      <c r="AP16" s="3095"/>
      <c r="AQ16" s="3095"/>
      <c r="AR16" s="3095"/>
      <c r="AS16" s="3095"/>
      <c r="AT16" s="3095"/>
      <c r="AU16" s="3095"/>
      <c r="AV16" s="3095"/>
      <c r="AW16" s="3095"/>
      <c r="AX16" s="3095"/>
      <c r="AY16" s="3095"/>
      <c r="AZ16" s="3104"/>
      <c r="BA16" s="3095"/>
      <c r="BB16" s="3095"/>
      <c r="BC16" s="3095"/>
      <c r="BD16" s="3095"/>
      <c r="BE16" s="3095"/>
      <c r="BF16" s="3095"/>
      <c r="BG16" s="3095"/>
      <c r="BH16" s="3095"/>
      <c r="BI16" s="3095"/>
      <c r="BJ16" s="3095"/>
      <c r="BK16" s="3105"/>
      <c r="BL16" s="3104"/>
      <c r="BM16" s="3095"/>
      <c r="BN16" s="3095"/>
      <c r="BO16" s="3095"/>
      <c r="BP16" s="3095"/>
      <c r="BQ16" s="3095"/>
      <c r="BR16" s="3095"/>
      <c r="BS16" s="3095"/>
      <c r="BT16" s="3095"/>
      <c r="BU16" s="3095"/>
      <c r="BV16" s="3095"/>
      <c r="BW16" s="3105"/>
      <c r="BX16" s="3104"/>
      <c r="BY16" s="3095"/>
      <c r="BZ16" s="3095"/>
      <c r="CA16" s="3095"/>
      <c r="CB16" s="3095"/>
      <c r="CC16" s="3095"/>
      <c r="CD16" s="3095"/>
      <c r="CE16" s="3095"/>
      <c r="CF16" s="3095"/>
      <c r="CG16" s="3095"/>
      <c r="CH16" s="3095"/>
      <c r="CI16" s="3095"/>
      <c r="CJ16" s="3109"/>
      <c r="CK16" s="3110"/>
      <c r="CL16" s="3110"/>
      <c r="CM16" s="3110"/>
      <c r="CN16" s="3110"/>
      <c r="CO16" s="3110"/>
      <c r="CP16" s="3110"/>
      <c r="CQ16" s="3110"/>
      <c r="CR16" s="3110"/>
      <c r="CS16" s="3110"/>
      <c r="CT16" s="3110"/>
      <c r="CU16" s="3111"/>
      <c r="CV16" s="3112"/>
      <c r="CW16" s="3113"/>
      <c r="CX16" s="3113"/>
      <c r="CY16" s="3113"/>
      <c r="CZ16" s="3113"/>
      <c r="DA16" s="3113"/>
      <c r="DB16" s="3113"/>
      <c r="DC16" s="3113"/>
      <c r="DD16" s="3113"/>
      <c r="DE16" s="3220"/>
      <c r="DF16" s="3113"/>
      <c r="DG16" s="3113"/>
      <c r="DH16" s="3114"/>
      <c r="DI16" s="3114"/>
      <c r="DJ16" s="3114"/>
      <c r="DK16" s="3114"/>
      <c r="DL16" s="3114"/>
      <c r="DM16" s="3114"/>
      <c r="DN16" s="3114"/>
      <c r="DO16" s="3114"/>
      <c r="DP16" s="3114"/>
      <c r="DQ16" s="3114"/>
      <c r="DR16" s="3114"/>
      <c r="DS16" s="3114"/>
      <c r="DT16" s="3115"/>
      <c r="DU16" s="3115"/>
      <c r="DV16" s="3115"/>
      <c r="DW16" s="3115"/>
      <c r="DX16" s="3115"/>
      <c r="DY16" s="3115"/>
      <c r="DZ16" s="3116"/>
      <c r="EA16" s="3116"/>
      <c r="EB16" s="3116"/>
      <c r="EC16" s="3116"/>
      <c r="ED16" s="3116"/>
      <c r="EE16" s="3116"/>
      <c r="EF16" s="3115"/>
      <c r="EG16" s="3115"/>
      <c r="EH16" s="3115"/>
      <c r="EI16" s="3115"/>
      <c r="EJ16" s="3115"/>
      <c r="EK16" s="3115"/>
      <c r="EL16" s="3116"/>
      <c r="EM16" s="3116"/>
      <c r="EN16" s="3116"/>
      <c r="EO16" s="3116"/>
      <c r="EP16" s="3116"/>
      <c r="EQ16" s="3116"/>
      <c r="ER16" s="3115"/>
      <c r="ES16" s="3115"/>
      <c r="ET16" s="3115"/>
      <c r="EU16" s="3115"/>
      <c r="EV16" s="3115"/>
      <c r="EW16" s="3115"/>
      <c r="EX16" s="3116"/>
      <c r="EY16" s="3116"/>
      <c r="EZ16" s="3116"/>
      <c r="FA16" s="3116"/>
      <c r="FB16" s="3116"/>
      <c r="FC16" s="3116"/>
      <c r="FD16" s="2649"/>
      <c r="FE16" s="2649"/>
      <c r="FF16" s="2649"/>
      <c r="FG16" s="2649"/>
      <c r="FH16" s="2649"/>
      <c r="FI16" s="2649"/>
      <c r="FJ16" s="2649"/>
      <c r="FK16" s="2649"/>
      <c r="FL16" s="2649"/>
      <c r="FM16" s="2649"/>
      <c r="FN16" s="2649"/>
      <c r="FO16" s="2649"/>
      <c r="FP16" s="2650"/>
      <c r="FQ16" s="2649"/>
      <c r="FR16" s="2649"/>
      <c r="FS16" s="2649"/>
      <c r="FT16" s="2649"/>
      <c r="FU16" s="2649"/>
      <c r="FV16" s="2649"/>
      <c r="FW16" s="2649"/>
      <c r="FX16" s="2649"/>
      <c r="FY16" s="2649"/>
      <c r="FZ16" s="2649"/>
      <c r="GA16" s="2649"/>
      <c r="GB16" s="2592"/>
      <c r="GC16" s="2651"/>
      <c r="GD16" s="2641"/>
      <c r="GE16" s="2641"/>
      <c r="GF16" s="2641"/>
      <c r="GG16" s="2641"/>
      <c r="GH16" s="2641"/>
      <c r="GI16" s="2641"/>
      <c r="GJ16" s="2641"/>
      <c r="GK16" s="2641"/>
      <c r="GL16" s="2641"/>
      <c r="GM16" s="2641"/>
      <c r="GN16" s="2641"/>
      <c r="GO16" s="2641"/>
      <c r="GP16" s="2641"/>
      <c r="GQ16" s="2641"/>
      <c r="GR16" s="2641"/>
      <c r="GS16" s="2641"/>
      <c r="GT16" s="2652"/>
      <c r="GU16" s="2652"/>
      <c r="GV16" s="2652"/>
      <c r="GW16" s="2652"/>
      <c r="GX16" s="2641"/>
      <c r="GY16" s="2641"/>
      <c r="GZ16" s="2641"/>
      <c r="HA16" s="2641"/>
      <c r="HB16" s="2641"/>
      <c r="HC16" s="2641"/>
      <c r="HD16" s="2641"/>
      <c r="HE16" s="2641"/>
      <c r="HF16" s="2653"/>
      <c r="HG16" s="2653"/>
      <c r="HH16" s="2653"/>
      <c r="HI16" s="2653"/>
      <c r="HJ16" s="2653"/>
      <c r="HK16" s="2653"/>
      <c r="HL16" s="2653"/>
      <c r="HM16" s="2591"/>
      <c r="HN16" s="2591"/>
      <c r="HO16" s="2591"/>
      <c r="HP16" s="2591"/>
      <c r="HQ16" s="2591"/>
      <c r="HR16" s="2591"/>
      <c r="HS16" s="2591"/>
      <c r="HT16" s="2641"/>
      <c r="HU16" s="2641"/>
      <c r="HV16" s="2641"/>
      <c r="HW16" s="2641"/>
      <c r="HX16" s="2641"/>
      <c r="HY16" s="2641"/>
      <c r="HZ16" s="2641"/>
      <c r="IA16" s="2641"/>
      <c r="IB16" s="2641"/>
      <c r="IC16" s="2641"/>
      <c r="ID16" s="2641"/>
      <c r="IE16" s="2641"/>
      <c r="IF16" s="2641"/>
      <c r="IG16" s="2641"/>
      <c r="IH16" s="2641"/>
      <c r="II16" s="2641"/>
      <c r="IJ16" s="2641"/>
      <c r="IK16" s="2654"/>
      <c r="IL16" s="3117"/>
      <c r="IM16" s="3117"/>
      <c r="IN16" s="3117"/>
      <c r="IO16" s="3117"/>
      <c r="IP16" s="3117"/>
      <c r="IQ16" s="3117"/>
      <c r="IR16" s="3117"/>
      <c r="IS16" s="5487"/>
      <c r="IT16" s="5487"/>
      <c r="IU16" s="5476"/>
      <c r="IV16" s="3099"/>
      <c r="IW16" s="3099"/>
      <c r="IX16" s="3099"/>
      <c r="IY16" s="3100"/>
      <c r="IZ16" s="3101"/>
      <c r="JA16" s="3578"/>
      <c r="JC16" s="3099"/>
      <c r="JD16" s="2566"/>
      <c r="JE16" s="2566"/>
      <c r="JF16" s="2566"/>
      <c r="JG16" s="2566"/>
      <c r="JH16" s="2566"/>
      <c r="JI16" s="3076"/>
      <c r="JJ16" s="2566"/>
      <c r="JK16" s="2566"/>
      <c r="JL16" s="2566"/>
      <c r="JM16" s="2566"/>
      <c r="JN16" s="2566"/>
      <c r="JO16" s="2566"/>
      <c r="JP16" s="2566"/>
      <c r="JQ16" s="2566"/>
      <c r="JS16" s="2566"/>
      <c r="JT16" s="2566"/>
      <c r="JU16" s="2566"/>
      <c r="JV16" s="2566"/>
      <c r="JW16" s="2566"/>
      <c r="JX16" s="2566"/>
      <c r="JY16" s="2566"/>
      <c r="JZ16" s="2566"/>
      <c r="KA16" s="2566"/>
      <c r="KB16" s="2566"/>
      <c r="KC16" s="2566"/>
      <c r="KD16" s="2566"/>
      <c r="KE16" s="2566"/>
      <c r="KF16" s="2566"/>
      <c r="KG16" s="2566"/>
      <c r="KH16" s="2566"/>
      <c r="KI16" s="2566"/>
      <c r="KJ16" s="2566"/>
      <c r="KK16" s="2566"/>
      <c r="KL16" s="2566"/>
      <c r="KM16" s="2566"/>
      <c r="KN16" s="2566"/>
      <c r="KO16" s="2566"/>
    </row>
    <row r="17" spans="1:301" ht="21" hidden="1" customHeight="1">
      <c r="A17" s="2566"/>
      <c r="B17" s="2566"/>
      <c r="C17" s="3056" t="s">
        <v>464</v>
      </c>
      <c r="D17" s="3118" t="s">
        <v>36</v>
      </c>
      <c r="E17" s="3119" t="s">
        <v>37</v>
      </c>
      <c r="F17" s="3119" t="s">
        <v>38</v>
      </c>
      <c r="G17" s="3119" t="s">
        <v>39</v>
      </c>
      <c r="H17" s="3119" t="s">
        <v>40</v>
      </c>
      <c r="I17" s="3119" t="s">
        <v>41</v>
      </c>
      <c r="J17" s="3119" t="s">
        <v>42</v>
      </c>
      <c r="K17" s="3119" t="s">
        <v>43</v>
      </c>
      <c r="L17" s="3119" t="s">
        <v>44</v>
      </c>
      <c r="M17" s="3119" t="s">
        <v>45</v>
      </c>
      <c r="N17" s="3119" t="s">
        <v>46</v>
      </c>
      <c r="O17" s="3120" t="s">
        <v>47</v>
      </c>
      <c r="P17" s="3121" t="s">
        <v>36</v>
      </c>
      <c r="Q17" s="3119" t="s">
        <v>37</v>
      </c>
      <c r="R17" s="3119" t="s">
        <v>38</v>
      </c>
      <c r="S17" s="3119" t="s">
        <v>39</v>
      </c>
      <c r="T17" s="3119" t="s">
        <v>40</v>
      </c>
      <c r="U17" s="3119" t="s">
        <v>41</v>
      </c>
      <c r="V17" s="3119" t="s">
        <v>42</v>
      </c>
      <c r="W17" s="3119" t="s">
        <v>43</v>
      </c>
      <c r="X17" s="3119" t="s">
        <v>44</v>
      </c>
      <c r="Y17" s="3119" t="s">
        <v>45</v>
      </c>
      <c r="Z17" s="3119" t="s">
        <v>46</v>
      </c>
      <c r="AA17" s="3120" t="s">
        <v>47</v>
      </c>
      <c r="AB17" s="3122" t="s">
        <v>36</v>
      </c>
      <c r="AC17" s="3123" t="s">
        <v>37</v>
      </c>
      <c r="AD17" s="3123" t="s">
        <v>38</v>
      </c>
      <c r="AE17" s="3123" t="s">
        <v>39</v>
      </c>
      <c r="AF17" s="3123" t="s">
        <v>40</v>
      </c>
      <c r="AG17" s="3123" t="s">
        <v>41</v>
      </c>
      <c r="AH17" s="3123" t="s">
        <v>42</v>
      </c>
      <c r="AI17" s="3123" t="s">
        <v>43</v>
      </c>
      <c r="AJ17" s="3123" t="s">
        <v>44</v>
      </c>
      <c r="AK17" s="3123" t="s">
        <v>45</v>
      </c>
      <c r="AL17" s="3123" t="s">
        <v>46</v>
      </c>
      <c r="AM17" s="3123" t="s">
        <v>47</v>
      </c>
      <c r="AN17" s="3123" t="s">
        <v>36</v>
      </c>
      <c r="AO17" s="3123" t="s">
        <v>37</v>
      </c>
      <c r="AP17" s="3123" t="s">
        <v>38</v>
      </c>
      <c r="AQ17" s="3123" t="s">
        <v>39</v>
      </c>
      <c r="AR17" s="3123" t="s">
        <v>40</v>
      </c>
      <c r="AS17" s="3123" t="s">
        <v>40</v>
      </c>
      <c r="AT17" s="3123" t="s">
        <v>42</v>
      </c>
      <c r="AU17" s="3123" t="s">
        <v>43</v>
      </c>
      <c r="AV17" s="3123" t="s">
        <v>44</v>
      </c>
      <c r="AW17" s="3123" t="s">
        <v>45</v>
      </c>
      <c r="AX17" s="3123" t="s">
        <v>46</v>
      </c>
      <c r="AY17" s="3124" t="s">
        <v>47</v>
      </c>
      <c r="AZ17" s="3125" t="s">
        <v>36</v>
      </c>
      <c r="BA17" s="3126" t="s">
        <v>37</v>
      </c>
      <c r="BB17" s="3126" t="s">
        <v>38</v>
      </c>
      <c r="BC17" s="3126" t="s">
        <v>39</v>
      </c>
      <c r="BD17" s="3126" t="s">
        <v>40</v>
      </c>
      <c r="BE17" s="3126" t="s">
        <v>41</v>
      </c>
      <c r="BF17" s="3126" t="s">
        <v>42</v>
      </c>
      <c r="BG17" s="3126" t="s">
        <v>43</v>
      </c>
      <c r="BH17" s="3126" t="s">
        <v>44</v>
      </c>
      <c r="BI17" s="3126" t="s">
        <v>45</v>
      </c>
      <c r="BJ17" s="3126" t="s">
        <v>46</v>
      </c>
      <c r="BK17" s="3127" t="s">
        <v>47</v>
      </c>
      <c r="BL17" s="3128" t="s">
        <v>36</v>
      </c>
      <c r="BM17" s="3129" t="s">
        <v>37</v>
      </c>
      <c r="BN17" s="3129" t="s">
        <v>38</v>
      </c>
      <c r="BO17" s="3129" t="s">
        <v>39</v>
      </c>
      <c r="BP17" s="3129" t="s">
        <v>40</v>
      </c>
      <c r="BQ17" s="3129" t="s">
        <v>41</v>
      </c>
      <c r="BR17" s="3129" t="s">
        <v>42</v>
      </c>
      <c r="BS17" s="3129" t="s">
        <v>43</v>
      </c>
      <c r="BT17" s="3130" t="s">
        <v>44</v>
      </c>
      <c r="BU17" s="3130" t="s">
        <v>45</v>
      </c>
      <c r="BV17" s="3130" t="s">
        <v>46</v>
      </c>
      <c r="BW17" s="3221" t="s">
        <v>47</v>
      </c>
      <c r="BX17" s="3222" t="s">
        <v>36</v>
      </c>
      <c r="BY17" s="3132" t="s">
        <v>37</v>
      </c>
      <c r="BZ17" s="3132" t="s">
        <v>38</v>
      </c>
      <c r="CA17" s="3132" t="s">
        <v>39</v>
      </c>
      <c r="CB17" s="3132" t="s">
        <v>40</v>
      </c>
      <c r="CC17" s="3132" t="s">
        <v>41</v>
      </c>
      <c r="CD17" s="3132" t="s">
        <v>42</v>
      </c>
      <c r="CE17" s="3132" t="s">
        <v>43</v>
      </c>
      <c r="CF17" s="3132" t="s">
        <v>44</v>
      </c>
      <c r="CG17" s="3132" t="s">
        <v>45</v>
      </c>
      <c r="CH17" s="3132" t="s">
        <v>46</v>
      </c>
      <c r="CI17" s="3132" t="s">
        <v>47</v>
      </c>
      <c r="CJ17" s="3133" t="s">
        <v>36</v>
      </c>
      <c r="CK17" s="3123" t="s">
        <v>37</v>
      </c>
      <c r="CL17" s="3123" t="s">
        <v>38</v>
      </c>
      <c r="CM17" s="3123" t="s">
        <v>39</v>
      </c>
      <c r="CN17" s="3123" t="s">
        <v>40</v>
      </c>
      <c r="CO17" s="3123" t="s">
        <v>41</v>
      </c>
      <c r="CP17" s="3123" t="s">
        <v>42</v>
      </c>
      <c r="CQ17" s="3123" t="s">
        <v>43</v>
      </c>
      <c r="CR17" s="3123" t="s">
        <v>44</v>
      </c>
      <c r="CS17" s="3123" t="s">
        <v>45</v>
      </c>
      <c r="CT17" s="3123" t="s">
        <v>46</v>
      </c>
      <c r="CU17" s="3134" t="s">
        <v>47</v>
      </c>
      <c r="CV17" s="3132" t="s">
        <v>36</v>
      </c>
      <c r="CW17" s="3132" t="s">
        <v>37</v>
      </c>
      <c r="CX17" s="3132" t="s">
        <v>38</v>
      </c>
      <c r="CY17" s="3132" t="s">
        <v>39</v>
      </c>
      <c r="CZ17" s="3132" t="s">
        <v>40</v>
      </c>
      <c r="DA17" s="3132" t="s">
        <v>41</v>
      </c>
      <c r="DB17" s="3132" t="s">
        <v>42</v>
      </c>
      <c r="DC17" s="3132" t="s">
        <v>43</v>
      </c>
      <c r="DD17" s="3132" t="s">
        <v>44</v>
      </c>
      <c r="DE17" s="3132" t="s">
        <v>45</v>
      </c>
      <c r="DF17" s="3132"/>
      <c r="DG17" s="3132"/>
      <c r="DH17" s="2528" t="s">
        <v>36</v>
      </c>
      <c r="DI17" s="2528" t="s">
        <v>37</v>
      </c>
      <c r="DJ17" s="2528" t="s">
        <v>38</v>
      </c>
      <c r="DK17" s="2528" t="s">
        <v>39</v>
      </c>
      <c r="DL17" s="2528" t="s">
        <v>40</v>
      </c>
      <c r="DM17" s="2528" t="s">
        <v>41</v>
      </c>
      <c r="DN17" s="2528" t="s">
        <v>42</v>
      </c>
      <c r="DO17" s="2528" t="s">
        <v>43</v>
      </c>
      <c r="DP17" s="2528" t="s">
        <v>183</v>
      </c>
      <c r="DQ17" s="2528" t="s">
        <v>45</v>
      </c>
      <c r="DR17" s="2528" t="s">
        <v>46</v>
      </c>
      <c r="DS17" s="2526" t="s">
        <v>47</v>
      </c>
      <c r="DT17" s="2527" t="s">
        <v>36</v>
      </c>
      <c r="DU17" s="2527" t="s">
        <v>37</v>
      </c>
      <c r="DV17" s="2527" t="s">
        <v>38</v>
      </c>
      <c r="DW17" s="2527" t="s">
        <v>39</v>
      </c>
      <c r="DX17" s="2527" t="s">
        <v>40</v>
      </c>
      <c r="DY17" s="2527" t="s">
        <v>41</v>
      </c>
      <c r="DZ17" s="2528"/>
      <c r="EA17" s="2528"/>
      <c r="EB17" s="2528"/>
      <c r="EC17" s="2528"/>
      <c r="ED17" s="2528"/>
      <c r="EE17" s="2528"/>
      <c r="EF17" s="2527" t="s">
        <v>36</v>
      </c>
      <c r="EG17" s="2527" t="s">
        <v>37</v>
      </c>
      <c r="EH17" s="2527" t="s">
        <v>38</v>
      </c>
      <c r="EI17" s="2527" t="s">
        <v>39</v>
      </c>
      <c r="EJ17" s="2527" t="s">
        <v>40</v>
      </c>
      <c r="EK17" s="2527" t="s">
        <v>41</v>
      </c>
      <c r="EL17" s="2528"/>
      <c r="EM17" s="2528"/>
      <c r="EN17" s="2528"/>
      <c r="EO17" s="2528"/>
      <c r="EP17" s="2528"/>
      <c r="EQ17" s="2528"/>
      <c r="ER17" s="2527" t="s">
        <v>36</v>
      </c>
      <c r="ES17" s="2527" t="s">
        <v>37</v>
      </c>
      <c r="ET17" s="2527" t="s">
        <v>38</v>
      </c>
      <c r="EU17" s="2527" t="s">
        <v>39</v>
      </c>
      <c r="EV17" s="2527" t="s">
        <v>40</v>
      </c>
      <c r="EW17" s="2527" t="s">
        <v>41</v>
      </c>
      <c r="EX17" s="2528"/>
      <c r="EY17" s="2528"/>
      <c r="EZ17" s="2528"/>
      <c r="FA17" s="2528"/>
      <c r="FB17" s="2528"/>
      <c r="FC17" s="2528"/>
      <c r="FD17" s="2655"/>
      <c r="FE17" s="2655"/>
      <c r="FF17" s="2655"/>
      <c r="FG17" s="2655"/>
      <c r="FH17" s="2655"/>
      <c r="FI17" s="2655"/>
      <c r="FJ17" s="2655"/>
      <c r="FK17" s="2655"/>
      <c r="FL17" s="2655"/>
      <c r="FM17" s="2655"/>
      <c r="FN17" s="2655"/>
      <c r="FO17" s="2655"/>
      <c r="FP17" s="2656"/>
      <c r="FQ17" s="2655"/>
      <c r="FR17" s="2655"/>
      <c r="FS17" s="2655"/>
      <c r="FT17" s="2655"/>
      <c r="FU17" s="2655"/>
      <c r="FV17" s="2655"/>
      <c r="FW17" s="2655"/>
      <c r="FX17" s="2655"/>
      <c r="FY17" s="2655"/>
      <c r="FZ17" s="2655"/>
      <c r="GA17" s="2655"/>
      <c r="GB17" s="2592"/>
      <c r="GC17" s="2569"/>
      <c r="GD17" s="2657" t="s">
        <v>167</v>
      </c>
      <c r="GE17" s="2658" t="s">
        <v>453</v>
      </c>
      <c r="GF17" s="2658" t="s">
        <v>454</v>
      </c>
      <c r="GG17" s="2659" t="s">
        <v>455</v>
      </c>
      <c r="GH17" s="2657" t="s">
        <v>167</v>
      </c>
      <c r="GI17" s="2658" t="s">
        <v>453</v>
      </c>
      <c r="GJ17" s="2658" t="s">
        <v>454</v>
      </c>
      <c r="GK17" s="2659" t="s">
        <v>455</v>
      </c>
      <c r="GL17" s="2660" t="s">
        <v>167</v>
      </c>
      <c r="GM17" s="2661" t="s">
        <v>453</v>
      </c>
      <c r="GN17" s="2661" t="s">
        <v>456</v>
      </c>
      <c r="GO17" s="2661" t="s">
        <v>457</v>
      </c>
      <c r="GP17" s="2662" t="s">
        <v>167</v>
      </c>
      <c r="GQ17" s="2663" t="s">
        <v>458</v>
      </c>
      <c r="GR17" s="2663" t="s">
        <v>459</v>
      </c>
      <c r="GS17" s="2664" t="s">
        <v>455</v>
      </c>
      <c r="GT17" s="2665" t="s">
        <v>167</v>
      </c>
      <c r="GU17" s="2666" t="s">
        <v>453</v>
      </c>
      <c r="GV17" s="2666" t="s">
        <v>456</v>
      </c>
      <c r="GW17" s="2667" t="s">
        <v>457</v>
      </c>
      <c r="GX17" s="2632" t="s">
        <v>167</v>
      </c>
      <c r="GY17" s="2632" t="s">
        <v>453</v>
      </c>
      <c r="GZ17" s="2632" t="s">
        <v>456</v>
      </c>
      <c r="HA17" s="2632" t="s">
        <v>457</v>
      </c>
      <c r="HB17" s="2632" t="s">
        <v>167</v>
      </c>
      <c r="HC17" s="2632" t="s">
        <v>453</v>
      </c>
      <c r="HD17" s="2632" t="s">
        <v>456</v>
      </c>
      <c r="HE17" s="2632" t="s">
        <v>457</v>
      </c>
      <c r="HF17" s="2632" t="s">
        <v>167</v>
      </c>
      <c r="HG17" s="2632" t="s">
        <v>453</v>
      </c>
      <c r="HH17" s="2632" t="s">
        <v>456</v>
      </c>
      <c r="HI17" s="2632" t="s">
        <v>457</v>
      </c>
      <c r="HJ17" s="2632" t="s">
        <v>167</v>
      </c>
      <c r="HK17" s="2632" t="s">
        <v>453</v>
      </c>
      <c r="HL17" s="2632" t="s">
        <v>456</v>
      </c>
      <c r="HM17" s="2635" t="s">
        <v>167</v>
      </c>
      <c r="HN17" s="2635" t="s">
        <v>453</v>
      </c>
      <c r="HO17" s="2635" t="s">
        <v>456</v>
      </c>
      <c r="HP17" s="2635" t="s">
        <v>457</v>
      </c>
      <c r="HQ17" s="2668" t="s">
        <v>167</v>
      </c>
      <c r="HR17" s="2635" t="s">
        <v>453</v>
      </c>
      <c r="HS17" s="2570"/>
      <c r="HT17" s="2569"/>
      <c r="HU17" s="2632"/>
      <c r="HV17" s="2632"/>
      <c r="HW17" s="2632"/>
      <c r="HX17" s="2632"/>
      <c r="HY17" s="2632"/>
      <c r="HZ17" s="2632"/>
      <c r="IA17" s="2632"/>
      <c r="IB17" s="2632"/>
      <c r="IC17" s="2632"/>
      <c r="ID17" s="2632"/>
      <c r="IE17" s="2632"/>
      <c r="IF17" s="2632"/>
      <c r="IG17" s="2632"/>
      <c r="IH17" s="2632"/>
      <c r="II17" s="2632"/>
      <c r="IJ17" s="2632"/>
      <c r="IK17" s="2654" t="s">
        <v>48</v>
      </c>
      <c r="IL17" s="3135" t="s">
        <v>48</v>
      </c>
      <c r="IM17" s="3135" t="s">
        <v>48</v>
      </c>
      <c r="IN17" s="3135" t="s">
        <v>48</v>
      </c>
      <c r="IO17" s="3135" t="s">
        <v>48</v>
      </c>
      <c r="IP17" s="3135" t="s">
        <v>48</v>
      </c>
      <c r="IQ17" s="3135" t="s">
        <v>48</v>
      </c>
      <c r="IR17" s="3135" t="s">
        <v>48</v>
      </c>
      <c r="IS17" s="5487"/>
      <c r="IT17" s="5487" t="s">
        <v>48</v>
      </c>
      <c r="IU17" s="5477"/>
      <c r="IV17" s="3099"/>
      <c r="IW17" s="3099"/>
      <c r="IX17" s="3099"/>
      <c r="IY17" s="3100"/>
      <c r="IZ17" s="3101"/>
      <c r="JA17" s="3578"/>
      <c r="JC17" s="3099"/>
      <c r="JD17" s="2566"/>
      <c r="JE17" s="2566"/>
      <c r="JF17" s="2566"/>
      <c r="JG17" s="2566"/>
      <c r="JH17" s="2566"/>
      <c r="JI17" s="3076"/>
      <c r="JJ17" s="2566"/>
      <c r="JK17" s="2566"/>
      <c r="JL17" s="2566"/>
      <c r="JM17" s="2566"/>
      <c r="JN17" s="2566"/>
      <c r="JO17" s="2566"/>
      <c r="JP17" s="2566"/>
      <c r="JQ17" s="2566"/>
      <c r="JS17" s="2566"/>
      <c r="JT17" s="2566"/>
      <c r="JU17" s="2566"/>
      <c r="JV17" s="2566"/>
      <c r="JW17" s="2566"/>
      <c r="JX17" s="2566"/>
      <c r="JY17" s="2566"/>
      <c r="JZ17" s="2566"/>
      <c r="KA17" s="2566"/>
      <c r="KB17" s="2566"/>
      <c r="KC17" s="2566"/>
      <c r="KD17" s="2566"/>
      <c r="KE17" s="2566"/>
      <c r="KF17" s="2566"/>
      <c r="KG17" s="2566"/>
      <c r="KH17" s="2566"/>
      <c r="KI17" s="2566"/>
      <c r="KJ17" s="2566"/>
      <c r="KK17" s="2566"/>
      <c r="KL17" s="2566"/>
      <c r="KM17" s="2566"/>
      <c r="KN17" s="2566"/>
      <c r="KO17" s="2566"/>
    </row>
    <row r="18" spans="1:301" ht="21.9" hidden="1" customHeight="1">
      <c r="A18" s="2566"/>
      <c r="B18" s="3045"/>
      <c r="C18" s="3136" t="s">
        <v>465</v>
      </c>
      <c r="D18" s="3137">
        <v>12868</v>
      </c>
      <c r="E18" s="3138">
        <v>12562</v>
      </c>
      <c r="F18" s="3138">
        <v>14092</v>
      </c>
      <c r="G18" s="3138">
        <v>11643</v>
      </c>
      <c r="H18" s="3138">
        <v>12324</v>
      </c>
      <c r="I18" s="3138">
        <v>19252</v>
      </c>
      <c r="J18" s="3138">
        <v>23995</v>
      </c>
      <c r="K18" s="3138">
        <v>19628</v>
      </c>
      <c r="L18" s="3138">
        <v>13637</v>
      </c>
      <c r="M18" s="3138">
        <v>14520</v>
      </c>
      <c r="N18" s="3138">
        <v>15315</v>
      </c>
      <c r="O18" s="3139">
        <v>16747</v>
      </c>
      <c r="P18" s="3140">
        <v>15605</v>
      </c>
      <c r="Q18" s="3141">
        <v>20308</v>
      </c>
      <c r="R18" s="3141">
        <v>16291</v>
      </c>
      <c r="S18" s="3141">
        <v>13109</v>
      </c>
      <c r="T18" s="3141">
        <v>15719</v>
      </c>
      <c r="U18" s="3141">
        <v>20911</v>
      </c>
      <c r="V18" s="3141">
        <v>23376</v>
      </c>
      <c r="W18" s="3141">
        <v>19940</v>
      </c>
      <c r="X18" s="3141">
        <v>14171</v>
      </c>
      <c r="Y18" s="3141">
        <v>15742</v>
      </c>
      <c r="Z18" s="3141">
        <v>16268</v>
      </c>
      <c r="AA18" s="3142">
        <v>16664</v>
      </c>
      <c r="AB18" s="3143">
        <v>16075</v>
      </c>
      <c r="AC18" s="3144">
        <v>14263</v>
      </c>
      <c r="AD18" s="3144">
        <v>14215</v>
      </c>
      <c r="AE18" s="3144">
        <v>14651</v>
      </c>
      <c r="AF18" s="3144">
        <v>14336</v>
      </c>
      <c r="AG18" s="3144">
        <v>21832</v>
      </c>
      <c r="AH18" s="3144">
        <v>23427</v>
      </c>
      <c r="AI18" s="3144">
        <v>24201</v>
      </c>
      <c r="AJ18" s="3144">
        <v>19444</v>
      </c>
      <c r="AK18" s="3144">
        <v>15000</v>
      </c>
      <c r="AL18" s="3144">
        <v>15985</v>
      </c>
      <c r="AM18" s="3144">
        <v>19929</v>
      </c>
      <c r="AN18" s="3145">
        <v>17091</v>
      </c>
      <c r="AO18" s="3145">
        <v>21797</v>
      </c>
      <c r="AP18" s="3145">
        <v>21549</v>
      </c>
      <c r="AQ18" s="3145">
        <v>13103</v>
      </c>
      <c r="AR18" s="3145">
        <v>16089</v>
      </c>
      <c r="AS18" s="3145">
        <v>21338</v>
      </c>
      <c r="AT18" s="3145">
        <v>23713</v>
      </c>
      <c r="AU18" s="3145">
        <v>19170</v>
      </c>
      <c r="AV18" s="3145">
        <v>14087</v>
      </c>
      <c r="AW18" s="3145">
        <v>16499</v>
      </c>
      <c r="AX18" s="3145">
        <v>16347.786779532433</v>
      </c>
      <c r="AY18" s="3146">
        <v>18623</v>
      </c>
      <c r="AZ18" s="3147">
        <v>16587</v>
      </c>
      <c r="BA18" s="3148">
        <v>20821</v>
      </c>
      <c r="BB18" s="3148">
        <v>22885</v>
      </c>
      <c r="BC18" s="3148">
        <v>15391</v>
      </c>
      <c r="BD18" s="3148">
        <v>16262</v>
      </c>
      <c r="BE18" s="3148">
        <v>21880</v>
      </c>
      <c r="BF18" s="3148">
        <v>27019</v>
      </c>
      <c r="BG18" s="3148">
        <v>19435</v>
      </c>
      <c r="BH18" s="3148">
        <v>14314</v>
      </c>
      <c r="BI18" s="3148">
        <v>16555</v>
      </c>
      <c r="BJ18" s="3148">
        <v>17105</v>
      </c>
      <c r="BK18" s="3149">
        <v>20064</v>
      </c>
      <c r="BL18" s="3150">
        <v>17211</v>
      </c>
      <c r="BM18" s="3151">
        <v>15331</v>
      </c>
      <c r="BN18" s="3151">
        <v>17436</v>
      </c>
      <c r="BO18" s="3151">
        <v>15593</v>
      </c>
      <c r="BP18" s="3151">
        <v>17369</v>
      </c>
      <c r="BQ18" s="3151">
        <v>24678</v>
      </c>
      <c r="BR18" s="3151">
        <v>26169</v>
      </c>
      <c r="BS18" s="3151">
        <v>20841</v>
      </c>
      <c r="BT18" s="3152">
        <v>16564</v>
      </c>
      <c r="BU18" s="3152">
        <v>18394</v>
      </c>
      <c r="BV18" s="3152">
        <v>19333</v>
      </c>
      <c r="BW18" s="3223">
        <v>24973</v>
      </c>
      <c r="BX18" s="3224">
        <v>20547</v>
      </c>
      <c r="BY18" s="3155">
        <v>18859</v>
      </c>
      <c r="BZ18" s="3155">
        <v>21576</v>
      </c>
      <c r="CA18" s="3155">
        <v>17079</v>
      </c>
      <c r="CB18" s="3155">
        <v>20813</v>
      </c>
      <c r="CC18" s="3155">
        <v>28058</v>
      </c>
      <c r="CD18" s="3155">
        <v>30365</v>
      </c>
      <c r="CE18" s="3155">
        <v>24398</v>
      </c>
      <c r="CF18" s="3155">
        <v>21281</v>
      </c>
      <c r="CG18" s="3155">
        <v>23371</v>
      </c>
      <c r="CH18" s="3155">
        <v>24766</v>
      </c>
      <c r="CI18" s="3156">
        <v>29503</v>
      </c>
      <c r="CJ18" s="3157">
        <v>23092</v>
      </c>
      <c r="CK18" s="3158">
        <v>24049</v>
      </c>
      <c r="CL18" s="3158">
        <v>22503</v>
      </c>
      <c r="CM18" s="3158">
        <v>22329</v>
      </c>
      <c r="CN18" s="3158">
        <v>22922</v>
      </c>
      <c r="CO18" s="3158">
        <v>27404</v>
      </c>
      <c r="CP18" s="3158">
        <v>33880</v>
      </c>
      <c r="CQ18" s="3158">
        <v>26950</v>
      </c>
      <c r="CR18" s="3158">
        <v>24091</v>
      </c>
      <c r="CS18" s="3158">
        <v>26083</v>
      </c>
      <c r="CT18" s="3158">
        <v>27482</v>
      </c>
      <c r="CU18" s="3159">
        <v>35990</v>
      </c>
      <c r="CV18" s="3160">
        <v>26300</v>
      </c>
      <c r="CW18" s="3155">
        <v>23090</v>
      </c>
      <c r="CX18" s="3156">
        <v>26552</v>
      </c>
      <c r="CY18" s="3156">
        <v>23326</v>
      </c>
      <c r="CZ18" s="3156">
        <v>25293</v>
      </c>
      <c r="DA18" s="3156">
        <v>31330</v>
      </c>
      <c r="DB18" s="3156">
        <v>35269</v>
      </c>
      <c r="DC18" s="3156">
        <v>24631</v>
      </c>
      <c r="DD18" s="3161">
        <v>22572</v>
      </c>
      <c r="DE18" s="3161">
        <v>24944</v>
      </c>
      <c r="DF18" s="3148"/>
      <c r="DG18" s="3148"/>
      <c r="DH18" s="3162">
        <v>24158</v>
      </c>
      <c r="DI18" s="3163">
        <v>23213</v>
      </c>
      <c r="DJ18" s="3163">
        <v>25544</v>
      </c>
      <c r="DK18" s="3164">
        <v>18204</v>
      </c>
      <c r="DL18" s="3164">
        <v>20971</v>
      </c>
      <c r="DM18" s="3164">
        <v>30083</v>
      </c>
      <c r="DN18" s="3164">
        <v>31893</v>
      </c>
      <c r="DO18" s="3164">
        <v>21838</v>
      </c>
      <c r="DP18" s="3164">
        <v>17458</v>
      </c>
      <c r="DQ18" s="3164">
        <v>23703</v>
      </c>
      <c r="DR18" s="3164">
        <v>21331</v>
      </c>
      <c r="DS18" s="3163">
        <v>30660</v>
      </c>
      <c r="DT18" s="3165">
        <v>23300</v>
      </c>
      <c r="DU18" s="3165">
        <v>21614</v>
      </c>
      <c r="DV18" s="3165">
        <v>24393</v>
      </c>
      <c r="DW18" s="3165">
        <v>23604</v>
      </c>
      <c r="DX18" s="3165">
        <v>21781</v>
      </c>
      <c r="DY18" s="3165">
        <v>32335</v>
      </c>
      <c r="DZ18" s="3166"/>
      <c r="EA18" s="3166"/>
      <c r="EB18" s="3166"/>
      <c r="EC18" s="3166"/>
      <c r="ED18" s="3166"/>
      <c r="EE18" s="3166"/>
      <c r="EF18" s="3165">
        <v>23300</v>
      </c>
      <c r="EG18" s="3165">
        <v>21614</v>
      </c>
      <c r="EH18" s="3165">
        <v>24393</v>
      </c>
      <c r="EI18" s="3165">
        <v>23604</v>
      </c>
      <c r="EJ18" s="3165">
        <v>21781</v>
      </c>
      <c r="EK18" s="3165">
        <v>32335</v>
      </c>
      <c r="EL18" s="3166"/>
      <c r="EM18" s="3166"/>
      <c r="EN18" s="3166"/>
      <c r="EO18" s="3166"/>
      <c r="EP18" s="3166"/>
      <c r="EQ18" s="3166"/>
      <c r="ER18" s="3165">
        <v>23300</v>
      </c>
      <c r="ES18" s="3165">
        <v>21614</v>
      </c>
      <c r="ET18" s="3165">
        <v>24393</v>
      </c>
      <c r="EU18" s="3165">
        <v>23604</v>
      </c>
      <c r="EV18" s="3165">
        <v>21781</v>
      </c>
      <c r="EW18" s="3165">
        <v>32335</v>
      </c>
      <c r="EX18" s="3166"/>
      <c r="EY18" s="3166"/>
      <c r="EZ18" s="3166"/>
      <c r="FA18" s="3166"/>
      <c r="FB18" s="3166"/>
      <c r="FC18" s="3166"/>
      <c r="FD18" s="2669"/>
      <c r="FE18" s="2669"/>
      <c r="FF18" s="2669"/>
      <c r="FG18" s="2669"/>
      <c r="FH18" s="2669"/>
      <c r="FI18" s="2669"/>
      <c r="FJ18" s="2669"/>
      <c r="FK18" s="2669"/>
      <c r="FL18" s="2669"/>
      <c r="FM18" s="2669"/>
      <c r="FN18" s="2669"/>
      <c r="FO18" s="2669"/>
      <c r="FP18" s="2670"/>
      <c r="FQ18" s="2669"/>
      <c r="FR18" s="2669"/>
      <c r="FS18" s="2669"/>
      <c r="FT18" s="2669"/>
      <c r="FU18" s="2669"/>
      <c r="FV18" s="2669"/>
      <c r="FW18" s="2669"/>
      <c r="FX18" s="2669"/>
      <c r="FY18" s="2669"/>
      <c r="FZ18" s="2669"/>
      <c r="GA18" s="2669"/>
      <c r="GB18" s="2595"/>
      <c r="GC18" s="2569"/>
      <c r="GD18" s="2671">
        <v>39522</v>
      </c>
      <c r="GE18" s="2672">
        <v>43219</v>
      </c>
      <c r="GF18" s="2672">
        <v>57260</v>
      </c>
      <c r="GG18" s="2673">
        <v>46582</v>
      </c>
      <c r="GH18" s="2674">
        <v>52204</v>
      </c>
      <c r="GI18" s="2675">
        <v>49739</v>
      </c>
      <c r="GJ18" s="2675">
        <v>57487</v>
      </c>
      <c r="GK18" s="2676">
        <v>48674</v>
      </c>
      <c r="GL18" s="2677">
        <v>44553</v>
      </c>
      <c r="GM18" s="2678">
        <v>50819</v>
      </c>
      <c r="GN18" s="2679">
        <v>67072</v>
      </c>
      <c r="GO18" s="2679">
        <v>50914</v>
      </c>
      <c r="GP18" s="2680">
        <v>60437</v>
      </c>
      <c r="GQ18" s="2681">
        <v>50530</v>
      </c>
      <c r="GR18" s="2681">
        <v>56970</v>
      </c>
      <c r="GS18" s="2682">
        <v>51469.786779532435</v>
      </c>
      <c r="GT18" s="2683">
        <v>60293</v>
      </c>
      <c r="GU18" s="2684">
        <v>53533</v>
      </c>
      <c r="GV18" s="2684">
        <v>60768</v>
      </c>
      <c r="GW18" s="2685">
        <v>53724</v>
      </c>
      <c r="GX18" s="2681">
        <v>49978</v>
      </c>
      <c r="GY18" s="2681">
        <v>57640</v>
      </c>
      <c r="GZ18" s="2681">
        <v>63574</v>
      </c>
      <c r="HA18" s="2681">
        <v>62700</v>
      </c>
      <c r="HB18" s="2686">
        <v>60982</v>
      </c>
      <c r="HC18" s="2686">
        <v>65950</v>
      </c>
      <c r="HD18" s="2686">
        <v>76044</v>
      </c>
      <c r="HE18" s="2686">
        <v>77640</v>
      </c>
      <c r="HF18" s="2687">
        <v>69644</v>
      </c>
      <c r="HG18" s="2687">
        <v>72655</v>
      </c>
      <c r="HH18" s="2687">
        <v>86913</v>
      </c>
      <c r="HI18" s="2687">
        <v>89555</v>
      </c>
      <c r="HJ18" s="2688">
        <v>75942</v>
      </c>
      <c r="HK18" s="2688">
        <v>73563</v>
      </c>
      <c r="HL18" s="2688">
        <v>84844</v>
      </c>
      <c r="HM18" s="2689">
        <f>+DH18+DI18+DJ18</f>
        <v>72915</v>
      </c>
      <c r="HN18" s="2689">
        <f>+DM18+DL18+DK18</f>
        <v>69258</v>
      </c>
      <c r="HO18" s="2689">
        <f>+DP18+DO18+DN18</f>
        <v>71189</v>
      </c>
      <c r="HP18" s="2689">
        <f>+DQ18+DR18+DS18</f>
        <v>75694</v>
      </c>
      <c r="HQ18" s="2690">
        <f>+DT18+DU18+DV18</f>
        <v>69307</v>
      </c>
      <c r="HR18" s="2690">
        <f>+DW18+DX18+DY18</f>
        <v>77720</v>
      </c>
      <c r="HS18" s="2570"/>
      <c r="HT18" s="2569"/>
      <c r="HU18" s="2681"/>
      <c r="HV18" s="2686"/>
      <c r="HW18" s="2686"/>
      <c r="HX18" s="2686"/>
      <c r="HY18" s="2681"/>
      <c r="HZ18" s="2686"/>
      <c r="IA18" s="2686"/>
      <c r="IB18" s="2686"/>
      <c r="IC18" s="2686"/>
      <c r="ID18" s="2686"/>
      <c r="IE18" s="2686"/>
      <c r="IF18" s="2686"/>
      <c r="IG18" s="2686"/>
      <c r="IH18" s="2686"/>
      <c r="II18" s="2686"/>
      <c r="IJ18" s="2686"/>
      <c r="IK18" s="2691">
        <v>186583</v>
      </c>
      <c r="IL18" s="3167">
        <v>208104</v>
      </c>
      <c r="IM18" s="3167">
        <v>213358</v>
      </c>
      <c r="IN18" s="3167">
        <v>219406.78677953244</v>
      </c>
      <c r="IO18" s="3167">
        <v>228318</v>
      </c>
      <c r="IP18" s="3167">
        <v>233892</v>
      </c>
      <c r="IQ18" s="3167">
        <v>280616</v>
      </c>
      <c r="IR18" s="3167">
        <v>316775</v>
      </c>
      <c r="IS18" s="3168">
        <v>326779</v>
      </c>
      <c r="IT18" s="3168">
        <f>SUM(DI18:DT18)</f>
        <v>288198</v>
      </c>
      <c r="IU18" s="3169">
        <f>SUM(DO18:EE18)</f>
        <v>262017</v>
      </c>
      <c r="IV18" s="3099"/>
      <c r="IW18" s="3099"/>
      <c r="IX18" s="3099"/>
      <c r="IY18" s="3100"/>
      <c r="IZ18" s="3101"/>
      <c r="JA18" s="3578"/>
      <c r="JC18" s="3099"/>
      <c r="JD18" s="3045"/>
      <c r="JE18" s="3045"/>
      <c r="JF18" s="3045"/>
      <c r="JG18" s="3045"/>
      <c r="JH18" s="2566"/>
      <c r="JI18" s="3076"/>
      <c r="JJ18" s="2566"/>
      <c r="JK18" s="2566"/>
      <c r="JL18" s="2566"/>
      <c r="JM18" s="2566"/>
      <c r="JN18" s="2566"/>
      <c r="JO18" s="2566"/>
      <c r="JP18" s="2566"/>
      <c r="JQ18" s="2566"/>
      <c r="JS18" s="3045"/>
      <c r="JT18" s="3045"/>
      <c r="JU18" s="3045"/>
      <c r="JV18" s="3045"/>
      <c r="JW18" s="3045"/>
      <c r="JX18" s="3045"/>
      <c r="JY18" s="3045"/>
      <c r="JZ18" s="3045"/>
      <c r="KA18" s="3045"/>
      <c r="KB18" s="3045"/>
      <c r="KC18" s="3045"/>
      <c r="KD18" s="3045"/>
      <c r="KE18" s="3045"/>
      <c r="KF18" s="3045"/>
      <c r="KG18" s="3045"/>
      <c r="KH18" s="3045"/>
      <c r="KI18" s="3045"/>
      <c r="KJ18" s="3045"/>
      <c r="KK18" s="3045"/>
      <c r="KL18" s="3045"/>
      <c r="KM18" s="3045"/>
      <c r="KN18" s="3045"/>
      <c r="KO18" s="3045"/>
    </row>
    <row r="19" spans="1:301" ht="21.9" hidden="1" customHeight="1">
      <c r="A19" s="2566"/>
      <c r="B19" s="3045"/>
      <c r="C19" s="3136" t="s">
        <v>466</v>
      </c>
      <c r="D19" s="3137">
        <v>16579</v>
      </c>
      <c r="E19" s="3138">
        <v>16687</v>
      </c>
      <c r="F19" s="3138">
        <v>18444</v>
      </c>
      <c r="G19" s="3138">
        <v>15286</v>
      </c>
      <c r="H19" s="3138">
        <v>16202</v>
      </c>
      <c r="I19" s="3138">
        <v>21853</v>
      </c>
      <c r="J19" s="3138">
        <v>25938</v>
      </c>
      <c r="K19" s="3138">
        <v>22616</v>
      </c>
      <c r="L19" s="3138">
        <v>17770</v>
      </c>
      <c r="M19" s="3138">
        <v>19371</v>
      </c>
      <c r="N19" s="3138">
        <v>20491</v>
      </c>
      <c r="O19" s="3139">
        <v>20033</v>
      </c>
      <c r="P19" s="3140">
        <v>19386</v>
      </c>
      <c r="Q19" s="3141">
        <v>26182</v>
      </c>
      <c r="R19" s="3141">
        <v>20514</v>
      </c>
      <c r="S19" s="3141">
        <v>17996</v>
      </c>
      <c r="T19" s="3141">
        <v>19879</v>
      </c>
      <c r="U19" s="3141">
        <v>24673</v>
      </c>
      <c r="V19" s="3141">
        <v>27108</v>
      </c>
      <c r="W19" s="3141">
        <v>23636</v>
      </c>
      <c r="X19" s="3141">
        <v>20147</v>
      </c>
      <c r="Y19" s="3141">
        <v>21235</v>
      </c>
      <c r="Z19" s="3141">
        <v>22022</v>
      </c>
      <c r="AA19" s="3142">
        <v>20617</v>
      </c>
      <c r="AB19" s="3143">
        <v>19829</v>
      </c>
      <c r="AC19" s="3144">
        <v>18732</v>
      </c>
      <c r="AD19" s="3144">
        <v>20027</v>
      </c>
      <c r="AE19" s="3144">
        <v>18510</v>
      </c>
      <c r="AF19" s="3144">
        <v>18437</v>
      </c>
      <c r="AG19" s="3144">
        <v>24964</v>
      </c>
      <c r="AH19" s="3144">
        <v>26642</v>
      </c>
      <c r="AI19" s="3144">
        <v>20177</v>
      </c>
      <c r="AJ19" s="3144">
        <v>14050</v>
      </c>
      <c r="AK19" s="3144">
        <v>20959</v>
      </c>
      <c r="AL19" s="3144">
        <v>22416</v>
      </c>
      <c r="AM19" s="3144">
        <v>23764</v>
      </c>
      <c r="AN19" s="3145">
        <v>21512</v>
      </c>
      <c r="AO19" s="3145">
        <v>18046</v>
      </c>
      <c r="AP19" s="3145">
        <v>16480</v>
      </c>
      <c r="AQ19" s="3145">
        <v>18495</v>
      </c>
      <c r="AR19" s="3145">
        <v>21027</v>
      </c>
      <c r="AS19" s="3145">
        <v>24755</v>
      </c>
      <c r="AT19" s="3145">
        <v>26053</v>
      </c>
      <c r="AU19" s="3145">
        <v>23311</v>
      </c>
      <c r="AV19" s="3145">
        <v>18916</v>
      </c>
      <c r="AW19" s="3145">
        <v>21799</v>
      </c>
      <c r="AX19" s="3145">
        <v>21823.213220467565</v>
      </c>
      <c r="AY19" s="3146">
        <v>22597</v>
      </c>
      <c r="AZ19" s="3147">
        <v>20876</v>
      </c>
      <c r="BA19" s="3148">
        <v>15157</v>
      </c>
      <c r="BB19" s="3148">
        <v>16530</v>
      </c>
      <c r="BC19" s="3148">
        <v>20558</v>
      </c>
      <c r="BD19" s="3148">
        <v>21761</v>
      </c>
      <c r="BE19" s="3148">
        <v>25964</v>
      </c>
      <c r="BF19" s="3148">
        <v>24133</v>
      </c>
      <c r="BG19" s="3148">
        <v>23601</v>
      </c>
      <c r="BH19" s="3148">
        <v>20314</v>
      </c>
      <c r="BI19" s="3148">
        <v>22027</v>
      </c>
      <c r="BJ19" s="3148">
        <v>23968</v>
      </c>
      <c r="BK19" s="3149">
        <v>24171</v>
      </c>
      <c r="BL19" s="3150">
        <v>20562</v>
      </c>
      <c r="BM19" s="3151">
        <v>20323</v>
      </c>
      <c r="BN19" s="3151">
        <v>23227</v>
      </c>
      <c r="BO19" s="3151">
        <v>20931</v>
      </c>
      <c r="BP19" s="3151">
        <v>23351</v>
      </c>
      <c r="BQ19" s="3151">
        <v>29488</v>
      </c>
      <c r="BR19" s="3151">
        <v>29999</v>
      </c>
      <c r="BS19" s="3151">
        <v>25371</v>
      </c>
      <c r="BT19" s="3152">
        <v>23183</v>
      </c>
      <c r="BU19" s="3152">
        <v>26470</v>
      </c>
      <c r="BV19" s="3152">
        <v>27089</v>
      </c>
      <c r="BW19" s="3223">
        <v>29572</v>
      </c>
      <c r="BX19" s="3224">
        <v>25590</v>
      </c>
      <c r="BY19" s="3155">
        <v>24315</v>
      </c>
      <c r="BZ19" s="3155">
        <v>27451</v>
      </c>
      <c r="CA19" s="3155">
        <v>24555</v>
      </c>
      <c r="CB19" s="3155">
        <v>27290</v>
      </c>
      <c r="CC19" s="3155">
        <v>32996</v>
      </c>
      <c r="CD19" s="3155">
        <v>33754</v>
      </c>
      <c r="CE19" s="3155">
        <v>28311</v>
      </c>
      <c r="CF19" s="3155">
        <v>28105</v>
      </c>
      <c r="CG19" s="3155">
        <v>29596</v>
      </c>
      <c r="CH19" s="3155">
        <v>31495</v>
      </c>
      <c r="CI19" s="3156">
        <v>34856</v>
      </c>
      <c r="CJ19" s="3157">
        <v>28596</v>
      </c>
      <c r="CK19" s="3158">
        <v>29573</v>
      </c>
      <c r="CL19" s="3158">
        <v>29245</v>
      </c>
      <c r="CM19" s="3158">
        <v>27241</v>
      </c>
      <c r="CN19" s="3158">
        <v>29252</v>
      </c>
      <c r="CO19" s="3158">
        <v>31391</v>
      </c>
      <c r="CP19" s="3158">
        <v>37219</v>
      </c>
      <c r="CQ19" s="3158">
        <v>30840</v>
      </c>
      <c r="CR19" s="3158">
        <v>31763</v>
      </c>
      <c r="CS19" s="3158">
        <v>33386</v>
      </c>
      <c r="CT19" s="3158">
        <v>35775</v>
      </c>
      <c r="CU19" s="3159">
        <v>41959</v>
      </c>
      <c r="CV19" s="3160">
        <v>31924</v>
      </c>
      <c r="CW19" s="3155">
        <v>30231</v>
      </c>
      <c r="CX19" s="3156">
        <v>32841</v>
      </c>
      <c r="CY19" s="3156">
        <v>30528</v>
      </c>
      <c r="CZ19" s="3156">
        <v>31345</v>
      </c>
      <c r="DA19" s="3156">
        <v>35808</v>
      </c>
      <c r="DB19" s="3156">
        <v>37737</v>
      </c>
      <c r="DC19" s="3156">
        <v>28363</v>
      </c>
      <c r="DD19" s="3161">
        <v>29071</v>
      </c>
      <c r="DE19" s="3161">
        <v>31505</v>
      </c>
      <c r="DF19" s="3148"/>
      <c r="DG19" s="3148"/>
      <c r="DH19" s="3162">
        <v>28675</v>
      </c>
      <c r="DI19" s="3163">
        <v>28225</v>
      </c>
      <c r="DJ19" s="3163">
        <v>28876</v>
      </c>
      <c r="DK19" s="3164">
        <v>22779</v>
      </c>
      <c r="DL19" s="3164">
        <v>25191</v>
      </c>
      <c r="DM19" s="3164">
        <v>31194</v>
      </c>
      <c r="DN19" s="3164">
        <v>34459</v>
      </c>
      <c r="DO19" s="3164">
        <v>25967</v>
      </c>
      <c r="DP19" s="3164">
        <v>22711</v>
      </c>
      <c r="DQ19" s="3164">
        <v>30128</v>
      </c>
      <c r="DR19" s="3164">
        <v>26980</v>
      </c>
      <c r="DS19" s="3163">
        <v>33385</v>
      </c>
      <c r="DT19" s="3165">
        <v>27314</v>
      </c>
      <c r="DU19" s="3165">
        <v>25818</v>
      </c>
      <c r="DV19" s="3165">
        <v>28628</v>
      </c>
      <c r="DW19" s="3165">
        <v>26604</v>
      </c>
      <c r="DX19" s="3165">
        <v>25254</v>
      </c>
      <c r="DY19" s="3165">
        <v>33531</v>
      </c>
      <c r="DZ19" s="3166"/>
      <c r="EA19" s="3166"/>
      <c r="EB19" s="3166"/>
      <c r="EC19" s="3166"/>
      <c r="ED19" s="3166"/>
      <c r="EE19" s="3166"/>
      <c r="EF19" s="3165">
        <v>27314</v>
      </c>
      <c r="EG19" s="3165">
        <v>25818</v>
      </c>
      <c r="EH19" s="3165">
        <v>28628</v>
      </c>
      <c r="EI19" s="3165">
        <v>26604</v>
      </c>
      <c r="EJ19" s="3165">
        <v>25254</v>
      </c>
      <c r="EK19" s="3165">
        <v>33531</v>
      </c>
      <c r="EL19" s="3166"/>
      <c r="EM19" s="3166"/>
      <c r="EN19" s="3166"/>
      <c r="EO19" s="3166"/>
      <c r="EP19" s="3166"/>
      <c r="EQ19" s="3166"/>
      <c r="ER19" s="3165">
        <v>27314</v>
      </c>
      <c r="ES19" s="3165">
        <v>25818</v>
      </c>
      <c r="ET19" s="3165">
        <v>28628</v>
      </c>
      <c r="EU19" s="3165">
        <v>26604</v>
      </c>
      <c r="EV19" s="3165">
        <v>25254</v>
      </c>
      <c r="EW19" s="3165">
        <v>33531</v>
      </c>
      <c r="EX19" s="3166"/>
      <c r="EY19" s="3166"/>
      <c r="EZ19" s="3166"/>
      <c r="FA19" s="3166"/>
      <c r="FB19" s="3166"/>
      <c r="FC19" s="3166"/>
      <c r="FD19" s="2669"/>
      <c r="FE19" s="2669"/>
      <c r="FF19" s="2669"/>
      <c r="FG19" s="2669"/>
      <c r="FH19" s="2669"/>
      <c r="FI19" s="2669"/>
      <c r="FJ19" s="2669"/>
      <c r="FK19" s="2669"/>
      <c r="FL19" s="2669"/>
      <c r="FM19" s="2669"/>
      <c r="FN19" s="2669"/>
      <c r="FO19" s="2669"/>
      <c r="FP19" s="2670"/>
      <c r="FQ19" s="2669"/>
      <c r="FR19" s="2669"/>
      <c r="FS19" s="2669"/>
      <c r="FT19" s="2669"/>
      <c r="FU19" s="2669"/>
      <c r="FV19" s="2669"/>
      <c r="FW19" s="2669"/>
      <c r="FX19" s="2669"/>
      <c r="FY19" s="2669"/>
      <c r="FZ19" s="2669"/>
      <c r="GA19" s="2669"/>
      <c r="GB19" s="2595"/>
      <c r="GC19" s="2569"/>
      <c r="GD19" s="2671">
        <v>51710</v>
      </c>
      <c r="GE19" s="2672">
        <v>53341</v>
      </c>
      <c r="GF19" s="2672">
        <v>66324</v>
      </c>
      <c r="GG19" s="2673">
        <v>59895</v>
      </c>
      <c r="GH19" s="2674">
        <v>66082</v>
      </c>
      <c r="GI19" s="2675">
        <v>62548</v>
      </c>
      <c r="GJ19" s="2675">
        <v>70891</v>
      </c>
      <c r="GK19" s="2676">
        <v>63874</v>
      </c>
      <c r="GL19" s="2677">
        <v>58588</v>
      </c>
      <c r="GM19" s="2678">
        <v>61911</v>
      </c>
      <c r="GN19" s="2679">
        <v>60869</v>
      </c>
      <c r="GO19" s="2679">
        <v>67139</v>
      </c>
      <c r="GP19" s="2680">
        <v>56038</v>
      </c>
      <c r="GQ19" s="2681">
        <v>64277</v>
      </c>
      <c r="GR19" s="2681">
        <v>68280</v>
      </c>
      <c r="GS19" s="2682">
        <v>66219.213220467558</v>
      </c>
      <c r="GT19" s="2683">
        <v>52563</v>
      </c>
      <c r="GU19" s="2684">
        <v>68283</v>
      </c>
      <c r="GV19" s="2684">
        <v>68048</v>
      </c>
      <c r="GW19" s="2685">
        <v>70166</v>
      </c>
      <c r="GX19" s="2681">
        <v>64112</v>
      </c>
      <c r="GY19" s="2681">
        <v>73770</v>
      </c>
      <c r="GZ19" s="2681">
        <v>78553</v>
      </c>
      <c r="HA19" s="2681">
        <v>83131</v>
      </c>
      <c r="HB19" s="2686">
        <v>77356</v>
      </c>
      <c r="HC19" s="2686">
        <v>84841</v>
      </c>
      <c r="HD19" s="2686">
        <v>90170</v>
      </c>
      <c r="HE19" s="2686">
        <v>95947</v>
      </c>
      <c r="HF19" s="2687">
        <v>87414</v>
      </c>
      <c r="HG19" s="2687">
        <v>87884</v>
      </c>
      <c r="HH19" s="2687">
        <v>101445</v>
      </c>
      <c r="HI19" s="2687">
        <v>111120</v>
      </c>
      <c r="HJ19" s="2688">
        <v>94996</v>
      </c>
      <c r="HK19" s="2688">
        <v>93378</v>
      </c>
      <c r="HL19" s="2688">
        <v>97605</v>
      </c>
      <c r="HM19" s="2689">
        <f>+DH19+DI19+DJ19</f>
        <v>85776</v>
      </c>
      <c r="HN19" s="2689">
        <f>+DM19+DL19+DK19</f>
        <v>79164</v>
      </c>
      <c r="HO19" s="2689">
        <f>+DP19+DO19+DN19</f>
        <v>83137</v>
      </c>
      <c r="HP19" s="2689">
        <f>+DQ19+DR19+DS19</f>
        <v>90493</v>
      </c>
      <c r="HQ19" s="2690">
        <f>+DT19+DU19+DV19</f>
        <v>81760</v>
      </c>
      <c r="HR19" s="2690">
        <f>+DW19+DX19+DY19</f>
        <v>85389</v>
      </c>
      <c r="HS19" s="2570"/>
      <c r="HT19" s="2569"/>
      <c r="HU19" s="2681"/>
      <c r="HV19" s="2686"/>
      <c r="HW19" s="2686"/>
      <c r="HX19" s="2686"/>
      <c r="HY19" s="2681"/>
      <c r="HZ19" s="2686"/>
      <c r="IA19" s="2686"/>
      <c r="IB19" s="2686"/>
      <c r="IC19" s="2686"/>
      <c r="ID19" s="2686"/>
      <c r="IE19" s="2686"/>
      <c r="IF19" s="2686"/>
      <c r="IG19" s="2686"/>
      <c r="IH19" s="2686"/>
      <c r="II19" s="2686"/>
      <c r="IJ19" s="2686"/>
      <c r="IK19" s="2691">
        <v>231270</v>
      </c>
      <c r="IL19" s="3167">
        <v>263395</v>
      </c>
      <c r="IM19" s="3167">
        <v>248507</v>
      </c>
      <c r="IN19" s="3167">
        <v>254814.21322046756</v>
      </c>
      <c r="IO19" s="3167">
        <v>259060</v>
      </c>
      <c r="IP19" s="3167">
        <v>299566</v>
      </c>
      <c r="IQ19" s="3167">
        <v>348314</v>
      </c>
      <c r="IR19" s="3167">
        <v>386240</v>
      </c>
      <c r="IS19" s="3168">
        <v>397087</v>
      </c>
      <c r="IT19" s="3168">
        <f>SUM(DI19:DT19)</f>
        <v>337209</v>
      </c>
      <c r="IU19" s="3169">
        <f>SUM(DO19:EE19)</f>
        <v>306320</v>
      </c>
      <c r="IV19" s="3099"/>
      <c r="IW19" s="3099"/>
      <c r="IX19" s="3099"/>
      <c r="IY19" s="3100"/>
      <c r="IZ19" s="3101"/>
      <c r="JA19" s="3578"/>
      <c r="JC19" s="3099"/>
      <c r="JD19" s="3045"/>
      <c r="JE19" s="3045"/>
      <c r="JF19" s="3045"/>
      <c r="JG19" s="3045"/>
      <c r="JH19" s="2566"/>
      <c r="JI19" s="3076"/>
      <c r="JJ19" s="2566"/>
      <c r="JK19" s="2566"/>
      <c r="JL19" s="2566"/>
      <c r="JM19" s="2566"/>
      <c r="JN19" s="2566"/>
      <c r="JO19" s="2566"/>
      <c r="JP19" s="2566"/>
      <c r="JQ19" s="2566"/>
      <c r="JS19" s="3045"/>
      <c r="JT19" s="3045"/>
      <c r="JU19" s="3045"/>
      <c r="JV19" s="3045"/>
      <c r="JW19" s="3045"/>
      <c r="JX19" s="3045"/>
      <c r="JY19" s="3045"/>
      <c r="JZ19" s="3045"/>
      <c r="KA19" s="3045"/>
      <c r="KB19" s="3045"/>
      <c r="KC19" s="3045"/>
      <c r="KD19" s="3045"/>
      <c r="KE19" s="3045"/>
      <c r="KF19" s="3045"/>
      <c r="KG19" s="3045"/>
      <c r="KH19" s="3045"/>
      <c r="KI19" s="3045"/>
      <c r="KJ19" s="3045"/>
      <c r="KK19" s="3045"/>
      <c r="KL19" s="3045"/>
      <c r="KM19" s="3045"/>
      <c r="KN19" s="3045"/>
      <c r="KO19" s="3045"/>
    </row>
    <row r="20" spans="1:301" ht="21.9" hidden="1" customHeight="1" thickBot="1">
      <c r="A20" s="2566"/>
      <c r="B20" s="3045"/>
      <c r="C20" s="3136" t="s">
        <v>32</v>
      </c>
      <c r="D20" s="3170">
        <v>29447</v>
      </c>
      <c r="E20" s="3171">
        <v>29249</v>
      </c>
      <c r="F20" s="3171">
        <v>32536</v>
      </c>
      <c r="G20" s="3171">
        <v>26929</v>
      </c>
      <c r="H20" s="3171">
        <v>28526</v>
      </c>
      <c r="I20" s="3171">
        <v>41105</v>
      </c>
      <c r="J20" s="3171">
        <v>49933</v>
      </c>
      <c r="K20" s="3171">
        <v>42244</v>
      </c>
      <c r="L20" s="3171">
        <v>31407</v>
      </c>
      <c r="M20" s="3171">
        <v>33891</v>
      </c>
      <c r="N20" s="3171">
        <v>35806</v>
      </c>
      <c r="O20" s="3172">
        <v>36780</v>
      </c>
      <c r="P20" s="3173">
        <v>34991</v>
      </c>
      <c r="Q20" s="3174">
        <v>46490</v>
      </c>
      <c r="R20" s="3174">
        <v>36805</v>
      </c>
      <c r="S20" s="3174">
        <v>31105</v>
      </c>
      <c r="T20" s="3174">
        <v>35598</v>
      </c>
      <c r="U20" s="3174">
        <v>45584</v>
      </c>
      <c r="V20" s="3174">
        <v>50484</v>
      </c>
      <c r="W20" s="3174">
        <v>43576</v>
      </c>
      <c r="X20" s="3174">
        <v>34318</v>
      </c>
      <c r="Y20" s="3174">
        <v>36977</v>
      </c>
      <c r="Z20" s="3174">
        <v>38290</v>
      </c>
      <c r="AA20" s="3175">
        <v>37281</v>
      </c>
      <c r="AB20" s="3143">
        <v>35904</v>
      </c>
      <c r="AC20" s="3144">
        <v>32995</v>
      </c>
      <c r="AD20" s="3144">
        <v>34242</v>
      </c>
      <c r="AE20" s="3144">
        <v>33161</v>
      </c>
      <c r="AF20" s="3144">
        <v>32773</v>
      </c>
      <c r="AG20" s="3144">
        <v>46796</v>
      </c>
      <c r="AH20" s="3144">
        <v>50069</v>
      </c>
      <c r="AI20" s="3144">
        <v>44378</v>
      </c>
      <c r="AJ20" s="3144">
        <v>33494</v>
      </c>
      <c r="AK20" s="3144">
        <v>35959</v>
      </c>
      <c r="AL20" s="3144">
        <v>38401</v>
      </c>
      <c r="AM20" s="3144">
        <v>43693</v>
      </c>
      <c r="AN20" s="3145">
        <v>38603</v>
      </c>
      <c r="AO20" s="3145">
        <v>39843</v>
      </c>
      <c r="AP20" s="3145">
        <v>38029</v>
      </c>
      <c r="AQ20" s="3145">
        <v>31598</v>
      </c>
      <c r="AR20" s="3145">
        <v>37116</v>
      </c>
      <c r="AS20" s="3145">
        <v>46093</v>
      </c>
      <c r="AT20" s="3145">
        <v>49766</v>
      </c>
      <c r="AU20" s="3145">
        <v>42481</v>
      </c>
      <c r="AV20" s="3145">
        <v>33003</v>
      </c>
      <c r="AW20" s="3145">
        <v>38298</v>
      </c>
      <c r="AX20" s="3145">
        <v>38171</v>
      </c>
      <c r="AY20" s="3146">
        <v>41220</v>
      </c>
      <c r="AZ20" s="3176">
        <v>37463</v>
      </c>
      <c r="BA20" s="3177">
        <v>35978</v>
      </c>
      <c r="BB20" s="3177">
        <v>39415</v>
      </c>
      <c r="BC20" s="3177">
        <v>35949</v>
      </c>
      <c r="BD20" s="3177">
        <v>38023</v>
      </c>
      <c r="BE20" s="3177">
        <v>47844</v>
      </c>
      <c r="BF20" s="3177">
        <v>51152</v>
      </c>
      <c r="BG20" s="3177">
        <v>43036</v>
      </c>
      <c r="BH20" s="3177">
        <v>34628</v>
      </c>
      <c r="BI20" s="3177">
        <v>38582</v>
      </c>
      <c r="BJ20" s="3177">
        <v>41073</v>
      </c>
      <c r="BK20" s="3178">
        <v>44235</v>
      </c>
      <c r="BL20" s="3179">
        <v>37773</v>
      </c>
      <c r="BM20" s="3180">
        <v>35654</v>
      </c>
      <c r="BN20" s="3180">
        <v>40663</v>
      </c>
      <c r="BO20" s="3180">
        <v>36524</v>
      </c>
      <c r="BP20" s="3180">
        <v>40720</v>
      </c>
      <c r="BQ20" s="3180">
        <v>54166</v>
      </c>
      <c r="BR20" s="3180">
        <v>56168</v>
      </c>
      <c r="BS20" s="3180">
        <v>46212</v>
      </c>
      <c r="BT20" s="3181">
        <v>39747</v>
      </c>
      <c r="BU20" s="3181">
        <v>44864</v>
      </c>
      <c r="BV20" s="3181">
        <v>46422</v>
      </c>
      <c r="BW20" s="3225">
        <v>54545</v>
      </c>
      <c r="BX20" s="3226">
        <v>46137</v>
      </c>
      <c r="BY20" s="3227">
        <v>43174</v>
      </c>
      <c r="BZ20" s="3227">
        <v>49027</v>
      </c>
      <c r="CA20" s="3227">
        <v>41634</v>
      </c>
      <c r="CB20" s="3227">
        <v>48103</v>
      </c>
      <c r="CC20" s="3227">
        <v>61054</v>
      </c>
      <c r="CD20" s="3227">
        <v>64119</v>
      </c>
      <c r="CE20" s="3227">
        <v>52709</v>
      </c>
      <c r="CF20" s="3227">
        <v>49386</v>
      </c>
      <c r="CG20" s="3227">
        <v>52967</v>
      </c>
      <c r="CH20" s="3184">
        <v>56261</v>
      </c>
      <c r="CI20" s="3185">
        <v>64359</v>
      </c>
      <c r="CJ20" s="3186">
        <v>51688</v>
      </c>
      <c r="CK20" s="3187">
        <v>53622</v>
      </c>
      <c r="CL20" s="3187">
        <v>51748</v>
      </c>
      <c r="CM20" s="3187">
        <v>49570</v>
      </c>
      <c r="CN20" s="3187">
        <v>52174</v>
      </c>
      <c r="CO20" s="3187">
        <v>58795</v>
      </c>
      <c r="CP20" s="3187">
        <v>71099</v>
      </c>
      <c r="CQ20" s="3187">
        <v>57790</v>
      </c>
      <c r="CR20" s="3187">
        <v>55854</v>
      </c>
      <c r="CS20" s="3187">
        <v>59469</v>
      </c>
      <c r="CT20" s="3187">
        <v>63257</v>
      </c>
      <c r="CU20" s="3188">
        <v>77949</v>
      </c>
      <c r="CV20" s="3189">
        <v>58224</v>
      </c>
      <c r="CW20" s="3190">
        <v>53321</v>
      </c>
      <c r="CX20" s="3191">
        <v>59393</v>
      </c>
      <c r="CY20" s="3191">
        <v>53854</v>
      </c>
      <c r="CZ20" s="3191">
        <v>56638</v>
      </c>
      <c r="DA20" s="3191">
        <v>67138</v>
      </c>
      <c r="DB20" s="3191">
        <v>73006</v>
      </c>
      <c r="DC20" s="3191">
        <v>52994</v>
      </c>
      <c r="DD20" s="3192">
        <v>51643</v>
      </c>
      <c r="DE20" s="3192">
        <v>56449</v>
      </c>
      <c r="DF20" s="3148"/>
      <c r="DG20" s="3148"/>
      <c r="DH20" s="3193">
        <v>52833</v>
      </c>
      <c r="DI20" s="3194">
        <v>51438</v>
      </c>
      <c r="DJ20" s="3194">
        <v>54420</v>
      </c>
      <c r="DK20" s="3195">
        <v>40983</v>
      </c>
      <c r="DL20" s="3195">
        <v>46162</v>
      </c>
      <c r="DM20" s="3195">
        <v>61277</v>
      </c>
      <c r="DN20" s="3195">
        <v>66352</v>
      </c>
      <c r="DO20" s="3195">
        <v>47805</v>
      </c>
      <c r="DP20" s="3195">
        <v>40169</v>
      </c>
      <c r="DQ20" s="3195">
        <v>53831</v>
      </c>
      <c r="DR20" s="3195">
        <v>48311</v>
      </c>
      <c r="DS20" s="3196">
        <v>64045</v>
      </c>
      <c r="DT20" s="3197">
        <v>50614</v>
      </c>
      <c r="DU20" s="3197">
        <v>47432</v>
      </c>
      <c r="DV20" s="3197">
        <v>53021</v>
      </c>
      <c r="DW20" s="3197">
        <v>50208</v>
      </c>
      <c r="DX20" s="3197">
        <v>47035</v>
      </c>
      <c r="DY20" s="3197">
        <v>65866</v>
      </c>
      <c r="DZ20" s="3198"/>
      <c r="EA20" s="3198"/>
      <c r="EB20" s="3198"/>
      <c r="EC20" s="3198"/>
      <c r="ED20" s="3198"/>
      <c r="EE20" s="3198"/>
      <c r="EF20" s="3197">
        <v>50614</v>
      </c>
      <c r="EG20" s="3197">
        <v>47432</v>
      </c>
      <c r="EH20" s="3197">
        <v>53021</v>
      </c>
      <c r="EI20" s="3197">
        <v>50208</v>
      </c>
      <c r="EJ20" s="3197">
        <v>47035</v>
      </c>
      <c r="EK20" s="3197">
        <v>65866</v>
      </c>
      <c r="EL20" s="3198"/>
      <c r="EM20" s="3198"/>
      <c r="EN20" s="3198"/>
      <c r="EO20" s="3198"/>
      <c r="EP20" s="3198"/>
      <c r="EQ20" s="3198"/>
      <c r="ER20" s="3197">
        <v>50614</v>
      </c>
      <c r="ES20" s="3197">
        <v>47432</v>
      </c>
      <c r="ET20" s="3197">
        <v>53021</v>
      </c>
      <c r="EU20" s="3197">
        <v>50208</v>
      </c>
      <c r="EV20" s="3197">
        <v>47035</v>
      </c>
      <c r="EW20" s="3197">
        <v>65866</v>
      </c>
      <c r="EX20" s="3198"/>
      <c r="EY20" s="3198"/>
      <c r="EZ20" s="3198"/>
      <c r="FA20" s="3198"/>
      <c r="FB20" s="3198"/>
      <c r="FC20" s="3198"/>
      <c r="FD20" s="2669"/>
      <c r="FE20" s="2669"/>
      <c r="FF20" s="2669"/>
      <c r="FG20" s="2669"/>
      <c r="FH20" s="2669"/>
      <c r="FI20" s="2669"/>
      <c r="FJ20" s="2669"/>
      <c r="FK20" s="2669"/>
      <c r="FL20" s="2669"/>
      <c r="FM20" s="2669"/>
      <c r="FN20" s="2669"/>
      <c r="FO20" s="2669"/>
      <c r="FP20" s="2670"/>
      <c r="FQ20" s="2669"/>
      <c r="FR20" s="2669"/>
      <c r="FS20" s="2669"/>
      <c r="FT20" s="2669"/>
      <c r="FU20" s="2669"/>
      <c r="FV20" s="2669"/>
      <c r="FW20" s="2669"/>
      <c r="FX20" s="2669"/>
      <c r="FY20" s="2669"/>
      <c r="FZ20" s="2669"/>
      <c r="GA20" s="2669"/>
      <c r="GB20" s="2595"/>
      <c r="GC20" s="2569"/>
      <c r="GD20" s="2692">
        <v>91232</v>
      </c>
      <c r="GE20" s="2693">
        <v>96560</v>
      </c>
      <c r="GF20" s="2693">
        <v>123584</v>
      </c>
      <c r="GG20" s="2694">
        <v>106477</v>
      </c>
      <c r="GH20" s="2695">
        <v>118286</v>
      </c>
      <c r="GI20" s="2696">
        <v>112287</v>
      </c>
      <c r="GJ20" s="2696">
        <v>128378</v>
      </c>
      <c r="GK20" s="2697">
        <v>112548</v>
      </c>
      <c r="GL20" s="2698">
        <v>103141</v>
      </c>
      <c r="GM20" s="2699">
        <v>112730</v>
      </c>
      <c r="GN20" s="2699">
        <v>127941</v>
      </c>
      <c r="GO20" s="2699">
        <v>118053</v>
      </c>
      <c r="GP20" s="2700">
        <v>116475</v>
      </c>
      <c r="GQ20" s="2701">
        <v>114807</v>
      </c>
      <c r="GR20" s="2701">
        <v>125250</v>
      </c>
      <c r="GS20" s="2709">
        <v>117689</v>
      </c>
      <c r="GT20" s="2702">
        <v>112856</v>
      </c>
      <c r="GU20" s="2703">
        <v>121816</v>
      </c>
      <c r="GV20" s="2703">
        <v>128816</v>
      </c>
      <c r="GW20" s="2704">
        <v>123890</v>
      </c>
      <c r="GX20" s="2681">
        <v>114090</v>
      </c>
      <c r="GY20" s="2681">
        <v>131410</v>
      </c>
      <c r="GZ20" s="2681">
        <v>142127</v>
      </c>
      <c r="HA20" s="2681">
        <v>145831</v>
      </c>
      <c r="HB20" s="2686">
        <v>138338</v>
      </c>
      <c r="HC20" s="2686">
        <v>150791</v>
      </c>
      <c r="HD20" s="2686">
        <v>166214</v>
      </c>
      <c r="HE20" s="2686">
        <v>173587</v>
      </c>
      <c r="HF20" s="2687">
        <v>157058</v>
      </c>
      <c r="HG20" s="2687">
        <v>160539</v>
      </c>
      <c r="HH20" s="2687">
        <v>188358</v>
      </c>
      <c r="HI20" s="2687">
        <v>200675</v>
      </c>
      <c r="HJ20" s="2688">
        <v>170938</v>
      </c>
      <c r="HK20" s="2688">
        <v>166941</v>
      </c>
      <c r="HL20" s="2688">
        <v>182449</v>
      </c>
      <c r="HM20" s="2689">
        <f>+DH20+DI20+DJ20</f>
        <v>158691</v>
      </c>
      <c r="HN20" s="2689">
        <f>+DM20+DL20+DK20</f>
        <v>148422</v>
      </c>
      <c r="HO20" s="2689">
        <f>+DP20+DO20+DN20</f>
        <v>154326</v>
      </c>
      <c r="HP20" s="2689">
        <f>+DQ20+DR20+DS20</f>
        <v>166187</v>
      </c>
      <c r="HQ20" s="2690">
        <f>+DT20+DU20+DV20</f>
        <v>151067</v>
      </c>
      <c r="HR20" s="2690">
        <f>+DW20+DX20+DY20</f>
        <v>163109</v>
      </c>
      <c r="HS20" s="2570"/>
      <c r="HT20" s="2569"/>
      <c r="HU20" s="2681"/>
      <c r="HV20" s="2686"/>
      <c r="HW20" s="2686"/>
      <c r="HX20" s="2686"/>
      <c r="HY20" s="2681"/>
      <c r="HZ20" s="2686"/>
      <c r="IA20" s="2686"/>
      <c r="IB20" s="2686"/>
      <c r="IC20" s="2686"/>
      <c r="ID20" s="2686"/>
      <c r="IE20" s="2686"/>
      <c r="IF20" s="2686"/>
      <c r="IG20" s="2686"/>
      <c r="IH20" s="2686"/>
      <c r="II20" s="2686"/>
      <c r="IJ20" s="2686"/>
      <c r="IK20" s="2705">
        <v>417853</v>
      </c>
      <c r="IL20" s="3199">
        <v>471499</v>
      </c>
      <c r="IM20" s="3199">
        <v>461865</v>
      </c>
      <c r="IN20" s="3199">
        <v>474221</v>
      </c>
      <c r="IO20" s="3199">
        <v>487378</v>
      </c>
      <c r="IP20" s="3199">
        <v>533458</v>
      </c>
      <c r="IQ20" s="3199">
        <v>628930</v>
      </c>
      <c r="IR20" s="3199">
        <v>703015</v>
      </c>
      <c r="IS20" s="3168">
        <v>723866</v>
      </c>
      <c r="IT20" s="3168">
        <f>SUM(DI20:DT20)</f>
        <v>625407</v>
      </c>
      <c r="IU20" s="3169">
        <f>SUM(DO20:EE20)</f>
        <v>568337</v>
      </c>
      <c r="IV20" s="3099"/>
      <c r="IW20" s="3099"/>
      <c r="IX20" s="3099"/>
      <c r="IY20" s="3100"/>
      <c r="IZ20" s="3101"/>
      <c r="JA20" s="3578"/>
      <c r="JC20" s="3099"/>
      <c r="JD20" s="3045"/>
      <c r="JE20" s="3045"/>
      <c r="JF20" s="3045"/>
      <c r="JG20" s="3045"/>
      <c r="JH20" s="2566"/>
      <c r="JI20" s="3076"/>
      <c r="JJ20" s="2566"/>
      <c r="JK20" s="2566"/>
      <c r="JL20" s="2566"/>
      <c r="JM20" s="2566"/>
      <c r="JN20" s="2566"/>
      <c r="JO20" s="2566"/>
      <c r="JP20" s="2566"/>
      <c r="JQ20" s="2566"/>
      <c r="JS20" s="3045"/>
      <c r="JT20" s="3045"/>
      <c r="JU20" s="3045"/>
      <c r="JV20" s="3045"/>
      <c r="JW20" s="3045"/>
      <c r="JX20" s="3045"/>
      <c r="JY20" s="3045"/>
      <c r="JZ20" s="3045"/>
      <c r="KA20" s="3045"/>
      <c r="KB20" s="3045"/>
      <c r="KC20" s="3045"/>
      <c r="KD20" s="3045"/>
      <c r="KE20" s="3045"/>
      <c r="KF20" s="3045"/>
      <c r="KG20" s="3045"/>
      <c r="KH20" s="3045"/>
      <c r="KI20" s="3045"/>
      <c r="KJ20" s="3045"/>
      <c r="KK20" s="3045"/>
      <c r="KL20" s="3045"/>
      <c r="KM20" s="3045"/>
      <c r="KN20" s="3045"/>
      <c r="KO20" s="3045"/>
    </row>
    <row r="21" spans="1:301" ht="18.75" hidden="1" customHeight="1">
      <c r="A21" s="2566"/>
      <c r="B21" s="2566"/>
      <c r="C21" s="3228"/>
      <c r="D21" s="2573"/>
      <c r="E21" s="2573"/>
      <c r="F21" s="2573"/>
      <c r="G21" s="2573"/>
      <c r="H21" s="2573"/>
      <c r="I21" s="2573"/>
      <c r="J21" s="2573"/>
      <c r="K21" s="2573"/>
      <c r="L21" s="2573"/>
      <c r="M21" s="2573"/>
      <c r="N21" s="2573"/>
      <c r="O21" s="2573"/>
      <c r="P21" s="3229"/>
      <c r="Q21" s="3229"/>
      <c r="R21" s="3229"/>
      <c r="S21" s="3229"/>
      <c r="T21" s="3229"/>
      <c r="U21" s="3229"/>
      <c r="V21" s="3229"/>
      <c r="W21" s="3229"/>
      <c r="X21" s="3229"/>
      <c r="Y21" s="3229"/>
      <c r="Z21" s="3229"/>
      <c r="AA21" s="3229"/>
      <c r="AB21" s="3230"/>
      <c r="AC21" s="3230"/>
      <c r="AD21" s="3230"/>
      <c r="AE21" s="3230"/>
      <c r="AF21" s="3230"/>
      <c r="AG21" s="3230"/>
      <c r="AH21" s="3230"/>
      <c r="AI21" s="3230"/>
      <c r="AJ21" s="3230"/>
      <c r="AK21" s="3230"/>
      <c r="AL21" s="3230"/>
      <c r="AM21" s="3230"/>
      <c r="AN21" s="3229"/>
      <c r="AO21" s="3229"/>
      <c r="AP21" s="3229"/>
      <c r="AQ21" s="3229"/>
      <c r="AR21" s="3229"/>
      <c r="AS21" s="3229"/>
      <c r="AT21" s="3229"/>
      <c r="AU21" s="3229"/>
      <c r="AV21" s="3229"/>
      <c r="AW21" s="3229"/>
      <c r="AX21" s="3229"/>
      <c r="AY21" s="3229"/>
      <c r="AZ21" s="2573"/>
      <c r="BA21" s="2573"/>
      <c r="BB21" s="2573"/>
      <c r="BC21" s="2573"/>
      <c r="BD21" s="2573"/>
      <c r="BE21" s="2573"/>
      <c r="BF21" s="2573"/>
      <c r="BG21" s="2573"/>
      <c r="BH21" s="2573"/>
      <c r="BI21" s="2573"/>
      <c r="BJ21" s="2573"/>
      <c r="BK21" s="2573"/>
      <c r="BL21" s="2573"/>
      <c r="BM21" s="2573"/>
      <c r="BN21" s="2573"/>
      <c r="BO21" s="2573"/>
      <c r="BP21" s="2573"/>
      <c r="BQ21" s="2573"/>
      <c r="BR21" s="2573"/>
      <c r="BS21" s="2573"/>
      <c r="BT21" s="2573"/>
      <c r="BU21" s="2573"/>
      <c r="BV21" s="2573"/>
      <c r="BW21" s="2573"/>
      <c r="BX21" s="2573"/>
      <c r="BY21" s="2573"/>
      <c r="BZ21" s="2573"/>
      <c r="CA21" s="3231">
        <v>0</v>
      </c>
      <c r="CB21" s="3231">
        <v>0</v>
      </c>
      <c r="CC21" s="3231">
        <v>0</v>
      </c>
      <c r="CD21" s="3231">
        <v>0</v>
      </c>
      <c r="CE21" s="3231">
        <v>0</v>
      </c>
      <c r="CF21" s="3231">
        <v>0</v>
      </c>
      <c r="CG21" s="3231">
        <v>0</v>
      </c>
      <c r="CH21" s="3231"/>
      <c r="CI21" s="3231"/>
      <c r="CJ21" s="3231"/>
      <c r="CK21" s="3231"/>
      <c r="CL21" s="3231"/>
      <c r="CM21" s="3231"/>
      <c r="CN21" s="3231"/>
      <c r="CO21" s="3231"/>
      <c r="CP21" s="3231"/>
      <c r="CQ21" s="3231"/>
      <c r="CR21" s="3231"/>
      <c r="CS21" s="3231"/>
      <c r="CT21" s="3231"/>
      <c r="CU21" s="3231"/>
      <c r="CV21" s="3231">
        <v>0</v>
      </c>
      <c r="CW21" s="3231"/>
      <c r="CX21" s="3231"/>
      <c r="CY21" s="3231"/>
      <c r="CZ21" s="3231"/>
      <c r="DA21" s="3231"/>
      <c r="DB21" s="3231"/>
      <c r="DC21" s="3231"/>
      <c r="DD21" s="3231"/>
      <c r="DE21" s="3231"/>
      <c r="DF21" s="3231"/>
      <c r="DG21" s="3231"/>
      <c r="DH21" s="2530"/>
      <c r="DI21" s="2530"/>
      <c r="DJ21" s="2530"/>
      <c r="DK21" s="2530"/>
      <c r="DL21" s="2530"/>
      <c r="DM21" s="2530"/>
      <c r="DN21" s="2530"/>
      <c r="DO21" s="2530">
        <v>10</v>
      </c>
      <c r="DP21" s="2530"/>
      <c r="DQ21" s="2530"/>
      <c r="DR21" s="2530"/>
      <c r="DS21" s="2530"/>
      <c r="DT21" s="2530"/>
      <c r="DU21" s="2530"/>
      <c r="DV21" s="2530"/>
      <c r="DW21" s="2530"/>
      <c r="DX21" s="2530"/>
      <c r="DY21" s="2530"/>
      <c r="DZ21" s="2530"/>
      <c r="EA21" s="2530"/>
      <c r="EB21" s="2530"/>
      <c r="EC21" s="2530"/>
      <c r="ED21" s="2530"/>
      <c r="EE21" s="2530"/>
      <c r="EF21" s="2530"/>
      <c r="EG21" s="2530"/>
      <c r="EH21" s="2530"/>
      <c r="EI21" s="2530"/>
      <c r="EJ21" s="2530"/>
      <c r="EK21" s="2530"/>
      <c r="EL21" s="2530"/>
      <c r="EM21" s="2530"/>
      <c r="EN21" s="2530"/>
      <c r="EO21" s="2530"/>
      <c r="EP21" s="2530"/>
      <c r="EQ21" s="2530"/>
      <c r="ER21" s="2530"/>
      <c r="ES21" s="2530"/>
      <c r="ET21" s="2530"/>
      <c r="EU21" s="2530"/>
      <c r="EV21" s="2530"/>
      <c r="EW21" s="2530"/>
      <c r="EX21" s="2530"/>
      <c r="EY21" s="2530"/>
      <c r="EZ21" s="2530"/>
      <c r="FA21" s="2530"/>
      <c r="FB21" s="2530"/>
      <c r="FC21" s="2530"/>
      <c r="FD21" s="2597"/>
      <c r="FE21" s="2597"/>
      <c r="FF21" s="2597"/>
      <c r="FG21" s="2597"/>
      <c r="FH21" s="2597"/>
      <c r="FI21" s="2597"/>
      <c r="FJ21" s="2597"/>
      <c r="FK21" s="2597"/>
      <c r="FL21" s="2597"/>
      <c r="FM21" s="2597"/>
      <c r="FN21" s="2597"/>
      <c r="FO21" s="2597"/>
      <c r="FP21" s="2598"/>
      <c r="FQ21" s="2597"/>
      <c r="FR21" s="2597"/>
      <c r="FS21" s="2597"/>
      <c r="FT21" s="2597"/>
      <c r="FU21" s="2597"/>
      <c r="FV21" s="2597"/>
      <c r="FW21" s="2597"/>
      <c r="FX21" s="2597"/>
      <c r="FY21" s="2597"/>
      <c r="FZ21" s="2597"/>
      <c r="GA21" s="2597"/>
      <c r="GB21" s="2599"/>
      <c r="GC21" s="2569"/>
      <c r="GD21" s="2576"/>
      <c r="GE21" s="2576"/>
      <c r="GF21" s="2576"/>
      <c r="GG21" s="2576"/>
      <c r="GH21" s="2576"/>
      <c r="GI21" s="2576"/>
      <c r="GJ21" s="2576"/>
      <c r="GK21" s="2576"/>
      <c r="GL21" s="2576"/>
      <c r="GM21" s="2573"/>
      <c r="GN21" s="2576"/>
      <c r="GO21" s="2576"/>
      <c r="GP21" s="2576"/>
      <c r="GQ21" s="2576"/>
      <c r="GR21" s="2576"/>
      <c r="GS21" s="2576"/>
      <c r="GT21" s="2573"/>
      <c r="GU21" s="2573"/>
      <c r="GV21" s="2573"/>
      <c r="GW21" s="2573"/>
      <c r="GX21" s="2569"/>
      <c r="GY21" s="2569"/>
      <c r="GZ21" s="2569"/>
      <c r="HA21" s="2569"/>
      <c r="HB21" s="2600">
        <v>0</v>
      </c>
      <c r="HC21" s="2600">
        <v>0</v>
      </c>
      <c r="HD21" s="2600"/>
      <c r="HE21" s="2600"/>
      <c r="HF21" s="2600"/>
      <c r="HG21" s="2600"/>
      <c r="HH21" s="2600"/>
      <c r="HI21" s="2600"/>
      <c r="HJ21" s="2600"/>
      <c r="HK21" s="2600"/>
      <c r="HL21" s="2600"/>
      <c r="HM21" s="2690"/>
      <c r="HN21" s="2601"/>
      <c r="HO21" s="2601"/>
      <c r="HP21" s="2601"/>
      <c r="HQ21" s="2601"/>
      <c r="HR21" s="2601"/>
      <c r="HS21" s="2570"/>
      <c r="HT21" s="2569"/>
      <c r="HU21" s="2569"/>
      <c r="HV21" s="2600"/>
      <c r="HW21" s="2600"/>
      <c r="HX21" s="2600"/>
      <c r="HY21" s="2569"/>
      <c r="HZ21" s="2600"/>
      <c r="IA21" s="2600"/>
      <c r="IB21" s="2600"/>
      <c r="IC21" s="2600"/>
      <c r="ID21" s="2600"/>
      <c r="IE21" s="2600"/>
      <c r="IF21" s="2600"/>
      <c r="IG21" s="2600"/>
      <c r="IH21" s="2600"/>
      <c r="II21" s="2600"/>
      <c r="IJ21" s="2600"/>
      <c r="IK21" s="2710" t="s">
        <v>463</v>
      </c>
      <c r="IL21" s="3232">
        <v>12.838486261915079</v>
      </c>
      <c r="IM21" s="3232">
        <v>-2.043270505345717</v>
      </c>
      <c r="IN21" s="3232">
        <v>2.6752406006083902</v>
      </c>
      <c r="IO21" s="3232">
        <v>2.7744448263573389</v>
      </c>
      <c r="IP21" s="3232">
        <v>9.4546737850292857</v>
      </c>
      <c r="IQ21" s="3233">
        <v>17.896816619115285</v>
      </c>
      <c r="IR21" s="3233">
        <v>11.779530313389415</v>
      </c>
      <c r="IS21" s="3209">
        <v>2.9659395603223118</v>
      </c>
      <c r="IT21" s="3209">
        <f>+IT20/IS20*100-100</f>
        <v>-13.601826857457041</v>
      </c>
      <c r="IU21" s="3210">
        <f>+IU20/IT20*100-100</f>
        <v>-9.1252576322298893</v>
      </c>
      <c r="IV21" s="3099"/>
      <c r="IW21" s="3099"/>
      <c r="IX21" s="3099"/>
      <c r="IY21" s="3100"/>
      <c r="IZ21" s="3101"/>
      <c r="JA21" s="3578"/>
      <c r="JC21" s="3099"/>
      <c r="JD21" s="2566"/>
      <c r="JE21" s="2566"/>
      <c r="JF21" s="2566"/>
      <c r="JG21" s="2566"/>
      <c r="JH21" s="2566"/>
      <c r="JI21" s="3076"/>
      <c r="JJ21" s="2566"/>
      <c r="JK21" s="2566"/>
      <c r="JL21" s="2566"/>
      <c r="JM21" s="2566"/>
      <c r="JN21" s="2566"/>
      <c r="JO21" s="2566"/>
      <c r="JP21" s="2566"/>
      <c r="JQ21" s="2566"/>
      <c r="JS21" s="2566"/>
      <c r="JT21" s="2566"/>
      <c r="JU21" s="2566"/>
      <c r="JV21" s="2566"/>
      <c r="JW21" s="2566"/>
      <c r="JX21" s="2566"/>
      <c r="JY21" s="2566"/>
      <c r="JZ21" s="2566"/>
      <c r="KA21" s="2566"/>
      <c r="KB21" s="2566"/>
      <c r="KC21" s="2566"/>
      <c r="KD21" s="2566"/>
      <c r="KE21" s="2566"/>
      <c r="KF21" s="2566"/>
      <c r="KG21" s="2566"/>
      <c r="KH21" s="2566"/>
      <c r="KI21" s="2566"/>
      <c r="KJ21" s="2566"/>
      <c r="KK21" s="2566"/>
      <c r="KL21" s="2566"/>
      <c r="KM21" s="2566"/>
      <c r="KN21" s="2566"/>
      <c r="KO21" s="2566"/>
    </row>
    <row r="22" spans="1:301" ht="19.5" hidden="1" customHeight="1" thickBot="1">
      <c r="A22" s="2566"/>
      <c r="B22" s="2566"/>
      <c r="C22" s="3056"/>
      <c r="D22" s="2568"/>
      <c r="E22" s="2573"/>
      <c r="F22" s="2573"/>
      <c r="G22" s="2573"/>
      <c r="H22" s="2573"/>
      <c r="I22" s="2573"/>
      <c r="J22" s="2573"/>
      <c r="K22" s="2573"/>
      <c r="L22" s="2573"/>
      <c r="M22" s="2573"/>
      <c r="N22" s="2573"/>
      <c r="O22" s="3234"/>
      <c r="P22" s="3229"/>
      <c r="Q22" s="3229"/>
      <c r="R22" s="3229"/>
      <c r="S22" s="3229"/>
      <c r="T22" s="3229"/>
      <c r="U22" s="3229"/>
      <c r="V22" s="3229"/>
      <c r="W22" s="3229"/>
      <c r="X22" s="3229"/>
      <c r="Y22" s="3229"/>
      <c r="Z22" s="3229"/>
      <c r="AA22" s="3235"/>
      <c r="AB22" s="3229"/>
      <c r="AC22" s="3229"/>
      <c r="AD22" s="3229"/>
      <c r="AE22" s="3229"/>
      <c r="AF22" s="3229"/>
      <c r="AG22" s="3229"/>
      <c r="AH22" s="3229"/>
      <c r="AI22" s="3229"/>
      <c r="AJ22" s="3229"/>
      <c r="AK22" s="3229"/>
      <c r="AL22" s="3229"/>
      <c r="AM22" s="3229"/>
      <c r="AN22" s="3229"/>
      <c r="AO22" s="3229"/>
      <c r="AP22" s="3229"/>
      <c r="AQ22" s="3229"/>
      <c r="AR22" s="3229"/>
      <c r="AS22" s="3229"/>
      <c r="AT22" s="3229"/>
      <c r="AU22" s="3229"/>
      <c r="AV22" s="3229"/>
      <c r="AW22" s="3229"/>
      <c r="AX22" s="3229"/>
      <c r="AY22" s="3229"/>
      <c r="AZ22" s="2573"/>
      <c r="BA22" s="2573"/>
      <c r="BB22" s="2573"/>
      <c r="BC22" s="2573"/>
      <c r="BD22" s="2573"/>
      <c r="BE22" s="2573"/>
      <c r="BF22" s="2573"/>
      <c r="BG22" s="2573"/>
      <c r="BH22" s="2573"/>
      <c r="BI22" s="2573"/>
      <c r="BJ22" s="2573"/>
      <c r="BK22" s="2573"/>
      <c r="BL22" s="2573"/>
      <c r="BM22" s="2573"/>
      <c r="BN22" s="2573"/>
      <c r="BO22" s="2573"/>
      <c r="BP22" s="2573"/>
      <c r="BQ22" s="2573"/>
      <c r="BR22" s="2573"/>
      <c r="BS22" s="2573"/>
      <c r="BT22" s="2573"/>
      <c r="BU22" s="2573"/>
      <c r="BV22" s="2573"/>
      <c r="BW22" s="2573"/>
      <c r="BX22" s="2573"/>
      <c r="BY22" s="2573"/>
      <c r="BZ22" s="2573"/>
      <c r="CA22" s="2573"/>
      <c r="CB22" s="2573"/>
      <c r="CC22" s="2573"/>
      <c r="CD22" s="2573"/>
      <c r="CE22" s="2573"/>
      <c r="CF22" s="2573"/>
      <c r="CG22" s="2573"/>
      <c r="CH22" s="2573"/>
      <c r="CI22" s="2573"/>
      <c r="CJ22" s="2573"/>
      <c r="CK22" s="2573"/>
      <c r="CL22" s="2573"/>
      <c r="CM22" s="2573"/>
      <c r="CN22" s="2573"/>
      <c r="CO22" s="2573"/>
      <c r="CP22" s="2573"/>
      <c r="CQ22" s="2573"/>
      <c r="CR22" s="2573"/>
      <c r="CS22" s="2573"/>
      <c r="CT22" s="2573"/>
      <c r="CU22" s="2573"/>
      <c r="CV22" s="2573"/>
      <c r="CW22" s="2573"/>
      <c r="CX22" s="2573"/>
      <c r="CY22" s="2573"/>
      <c r="CZ22" s="2573"/>
      <c r="DA22" s="2573"/>
      <c r="DB22" s="2573"/>
      <c r="DC22" s="2573"/>
      <c r="DD22" s="2573"/>
      <c r="DE22" s="2573"/>
      <c r="DF22" s="2573"/>
      <c r="DG22" s="2573"/>
      <c r="DH22" s="2531"/>
      <c r="DI22" s="2531"/>
      <c r="DJ22" s="2531"/>
      <c r="DK22" s="2531"/>
      <c r="DL22" s="2531"/>
      <c r="DM22" s="2531"/>
      <c r="DN22" s="2531"/>
      <c r="DO22" s="2531"/>
      <c r="DP22" s="2531"/>
      <c r="DQ22" s="2531"/>
      <c r="DR22" s="2531"/>
      <c r="DS22" s="2531"/>
      <c r="DT22" s="2531"/>
      <c r="DU22" s="2531"/>
      <c r="DV22" s="2531"/>
      <c r="DW22" s="2531"/>
      <c r="DX22" s="2531"/>
      <c r="DY22" s="2531"/>
      <c r="DZ22" s="2531"/>
      <c r="EA22" s="2531"/>
      <c r="EB22" s="2531"/>
      <c r="EC22" s="2531"/>
      <c r="ED22" s="2531"/>
      <c r="EE22" s="2531"/>
      <c r="EF22" s="2531"/>
      <c r="EG22" s="2531"/>
      <c r="EH22" s="2531"/>
      <c r="EI22" s="2531"/>
      <c r="EJ22" s="2531"/>
      <c r="EK22" s="2531"/>
      <c r="EL22" s="2531"/>
      <c r="EM22" s="2531"/>
      <c r="EN22" s="2531"/>
      <c r="EO22" s="2531"/>
      <c r="EP22" s="2531"/>
      <c r="EQ22" s="2531"/>
      <c r="ER22" s="2531"/>
      <c r="ES22" s="2531"/>
      <c r="ET22" s="2531"/>
      <c r="EU22" s="2531"/>
      <c r="EV22" s="2531"/>
      <c r="EW22" s="2531"/>
      <c r="EX22" s="2531"/>
      <c r="EY22" s="2531"/>
      <c r="EZ22" s="2531"/>
      <c r="FA22" s="2531"/>
      <c r="FB22" s="2531"/>
      <c r="FC22" s="2531"/>
      <c r="FD22" s="2602"/>
      <c r="FE22" s="2602"/>
      <c r="FF22" s="2602"/>
      <c r="FG22" s="2602"/>
      <c r="FH22" s="2602"/>
      <c r="FI22" s="2602"/>
      <c r="FJ22" s="2602"/>
      <c r="FK22" s="2602"/>
      <c r="FL22" s="2602"/>
      <c r="FM22" s="2602"/>
      <c r="FN22" s="2602"/>
      <c r="FO22" s="2602"/>
      <c r="FP22" s="2603"/>
      <c r="FQ22" s="2602"/>
      <c r="FR22" s="2602"/>
      <c r="FS22" s="2602"/>
      <c r="FT22" s="2602"/>
      <c r="FU22" s="2602"/>
      <c r="FV22" s="2602"/>
      <c r="FW22" s="2602"/>
      <c r="FX22" s="2602"/>
      <c r="FY22" s="2602"/>
      <c r="FZ22" s="2602"/>
      <c r="GA22" s="2602"/>
      <c r="GB22" s="2595"/>
      <c r="GC22" s="2569"/>
      <c r="GD22" s="2576"/>
      <c r="GE22" s="2576"/>
      <c r="GF22" s="2576"/>
      <c r="GG22" s="2576"/>
      <c r="GH22" s="2576"/>
      <c r="GI22" s="2576"/>
      <c r="GJ22" s="2576"/>
      <c r="GK22" s="2576"/>
      <c r="GL22" s="2576"/>
      <c r="GM22" s="2573"/>
      <c r="GN22" s="2576"/>
      <c r="GO22" s="2576"/>
      <c r="GP22" s="2576"/>
      <c r="GQ22" s="2576"/>
      <c r="GR22" s="2576"/>
      <c r="GS22" s="2576"/>
      <c r="GT22" s="2573"/>
      <c r="GU22" s="2573"/>
      <c r="GV22" s="2573"/>
      <c r="GW22" s="2573"/>
      <c r="GX22" s="2569"/>
      <c r="GY22" s="2569"/>
      <c r="GZ22" s="2569"/>
      <c r="HA22" s="2569"/>
      <c r="HB22" s="2569"/>
      <c r="HC22" s="2569"/>
      <c r="HD22" s="2569"/>
      <c r="HE22" s="2569"/>
      <c r="HF22" s="2569"/>
      <c r="HG22" s="2569"/>
      <c r="HH22" s="2569"/>
      <c r="HI22" s="2569"/>
      <c r="HJ22" s="2569"/>
      <c r="HK22" s="2569"/>
      <c r="HL22" s="2569"/>
      <c r="HM22" s="2570"/>
      <c r="HN22" s="2570"/>
      <c r="HO22" s="2570"/>
      <c r="HP22" s="2570"/>
      <c r="HQ22" s="2570"/>
      <c r="HR22" s="2570"/>
      <c r="HS22" s="2570"/>
      <c r="HT22" s="2569"/>
      <c r="HU22" s="2569"/>
      <c r="HV22" s="2569"/>
      <c r="HW22" s="2569"/>
      <c r="HX22" s="2569"/>
      <c r="HY22" s="2569"/>
      <c r="HZ22" s="2569"/>
      <c r="IA22" s="2569"/>
      <c r="IB22" s="2569"/>
      <c r="IC22" s="2569"/>
      <c r="ID22" s="2569"/>
      <c r="IE22" s="2569"/>
      <c r="IF22" s="2569"/>
      <c r="IG22" s="2569"/>
      <c r="IH22" s="2569"/>
      <c r="II22" s="2569"/>
      <c r="IJ22" s="2569"/>
      <c r="IK22" s="2604"/>
      <c r="IL22" s="3236"/>
      <c r="IM22" s="3236"/>
      <c r="IN22" s="3236"/>
      <c r="IO22" s="3236"/>
      <c r="IP22" s="3236"/>
      <c r="IQ22" s="3237"/>
      <c r="IR22" s="3237"/>
      <c r="IS22" s="3237"/>
      <c r="IT22" s="3237"/>
      <c r="IU22" s="3238"/>
      <c r="IV22" s="3099"/>
      <c r="IW22" s="3099"/>
      <c r="IX22" s="3099"/>
      <c r="IY22" s="3100"/>
      <c r="IZ22" s="3101"/>
      <c r="JA22" s="3578"/>
      <c r="JC22" s="3099"/>
      <c r="JD22" s="2566"/>
      <c r="JE22" s="2566"/>
      <c r="JF22" s="2566"/>
      <c r="JG22" s="2566"/>
      <c r="JH22" s="2566"/>
      <c r="JI22" s="3076"/>
      <c r="JJ22" s="2566"/>
      <c r="JK22" s="2566"/>
      <c r="JL22" s="2566"/>
      <c r="JM22" s="2566"/>
      <c r="JN22" s="2566"/>
      <c r="JO22" s="2566"/>
      <c r="JP22" s="2566"/>
      <c r="JQ22" s="2566"/>
      <c r="JS22" s="2566"/>
      <c r="JT22" s="2566"/>
      <c r="JU22" s="2566"/>
      <c r="JV22" s="2566"/>
      <c r="JW22" s="2566"/>
      <c r="JX22" s="2566"/>
      <c r="JY22" s="2566"/>
      <c r="JZ22" s="2566"/>
      <c r="KA22" s="2566"/>
      <c r="KB22" s="2566"/>
      <c r="KC22" s="2566"/>
      <c r="KD22" s="2566"/>
      <c r="KE22" s="2566"/>
      <c r="KF22" s="2566"/>
      <c r="KG22" s="2566"/>
      <c r="KH22" s="2566"/>
      <c r="KI22" s="2566"/>
      <c r="KJ22" s="2566"/>
      <c r="KK22" s="2566"/>
      <c r="KL22" s="2566"/>
      <c r="KM22" s="2566"/>
      <c r="KN22" s="2566"/>
      <c r="KO22" s="2566"/>
    </row>
    <row r="23" spans="1:301" ht="18" hidden="1" customHeight="1">
      <c r="A23" s="2566"/>
      <c r="B23" s="2566"/>
      <c r="C23" s="3085" t="s">
        <v>451</v>
      </c>
      <c r="D23" s="5488">
        <v>2007</v>
      </c>
      <c r="E23" s="5488"/>
      <c r="F23" s="5488"/>
      <c r="G23" s="5488"/>
      <c r="H23" s="5488"/>
      <c r="I23" s="5488"/>
      <c r="J23" s="5488"/>
      <c r="K23" s="5488"/>
      <c r="L23" s="5488"/>
      <c r="M23" s="5488"/>
      <c r="N23" s="5488"/>
      <c r="O23" s="5489"/>
      <c r="P23" s="5490">
        <v>2008</v>
      </c>
      <c r="Q23" s="5491"/>
      <c r="R23" s="5491"/>
      <c r="S23" s="5491"/>
      <c r="T23" s="5491"/>
      <c r="U23" s="5491"/>
      <c r="V23" s="5491"/>
      <c r="W23" s="5491"/>
      <c r="X23" s="5491"/>
      <c r="Y23" s="5491"/>
      <c r="Z23" s="5491"/>
      <c r="AA23" s="5491"/>
      <c r="AB23" s="5492">
        <v>2009</v>
      </c>
      <c r="AC23" s="5493"/>
      <c r="AD23" s="5493"/>
      <c r="AE23" s="5493"/>
      <c r="AF23" s="5493"/>
      <c r="AG23" s="5493"/>
      <c r="AH23" s="5493"/>
      <c r="AI23" s="5493"/>
      <c r="AJ23" s="5493"/>
      <c r="AK23" s="5493"/>
      <c r="AL23" s="5493"/>
      <c r="AM23" s="5494"/>
      <c r="AN23" s="5495">
        <v>2010</v>
      </c>
      <c r="AO23" s="5496"/>
      <c r="AP23" s="5496"/>
      <c r="AQ23" s="5496"/>
      <c r="AR23" s="5496"/>
      <c r="AS23" s="5496"/>
      <c r="AT23" s="5496"/>
      <c r="AU23" s="5496"/>
      <c r="AV23" s="5496"/>
      <c r="AW23" s="5496"/>
      <c r="AX23" s="5496"/>
      <c r="AY23" s="5496"/>
      <c r="AZ23" s="5497">
        <v>2011</v>
      </c>
      <c r="BA23" s="5498"/>
      <c r="BB23" s="5498"/>
      <c r="BC23" s="5498"/>
      <c r="BD23" s="5498"/>
      <c r="BE23" s="5498"/>
      <c r="BF23" s="5498"/>
      <c r="BG23" s="5498"/>
      <c r="BH23" s="5498"/>
      <c r="BI23" s="5498"/>
      <c r="BJ23" s="5498"/>
      <c r="BK23" s="5499"/>
      <c r="BL23" s="5500">
        <v>2012</v>
      </c>
      <c r="BM23" s="5501"/>
      <c r="BN23" s="5501"/>
      <c r="BO23" s="3604"/>
      <c r="BP23" s="3604"/>
      <c r="BQ23" s="3604"/>
      <c r="BR23" s="3604"/>
      <c r="BS23" s="3604"/>
      <c r="BT23" s="3086"/>
      <c r="BU23" s="3086"/>
      <c r="BV23" s="3086"/>
      <c r="BW23" s="3214"/>
      <c r="BX23" s="3215">
        <v>2013</v>
      </c>
      <c r="BY23" s="3216"/>
      <c r="BZ23" s="3216"/>
      <c r="CA23" s="3216"/>
      <c r="CB23" s="3216"/>
      <c r="CC23" s="3216"/>
      <c r="CD23" s="3216"/>
      <c r="CE23" s="3216"/>
      <c r="CF23" s="3216"/>
      <c r="CG23" s="3216"/>
      <c r="CH23" s="3216"/>
      <c r="CI23" s="3216"/>
      <c r="CJ23" s="3090">
        <v>2014</v>
      </c>
      <c r="CK23" s="3091"/>
      <c r="CL23" s="3091"/>
      <c r="CM23" s="3091"/>
      <c r="CN23" s="3091"/>
      <c r="CO23" s="3091"/>
      <c r="CP23" s="3091"/>
      <c r="CQ23" s="3091"/>
      <c r="CR23" s="3091"/>
      <c r="CS23" s="3091"/>
      <c r="CT23" s="3091"/>
      <c r="CU23" s="3092"/>
      <c r="CV23" s="3093">
        <v>2015</v>
      </c>
      <c r="CW23" s="3094"/>
      <c r="CX23" s="3094"/>
      <c r="CY23" s="3094"/>
      <c r="CZ23" s="3094"/>
      <c r="DA23" s="3094"/>
      <c r="DB23" s="3094"/>
      <c r="DC23" s="3094"/>
      <c r="DD23" s="3094"/>
      <c r="DE23" s="3217"/>
      <c r="DF23" s="3095"/>
      <c r="DG23" s="3095"/>
      <c r="DH23" s="5502">
        <v>2016</v>
      </c>
      <c r="DI23" s="5503"/>
      <c r="DJ23" s="5503"/>
      <c r="DK23" s="5503"/>
      <c r="DL23" s="5503"/>
      <c r="DM23" s="5503"/>
      <c r="DN23" s="5503"/>
      <c r="DO23" s="5503"/>
      <c r="DP23" s="5503"/>
      <c r="DQ23" s="5503"/>
      <c r="DR23" s="5503"/>
      <c r="DS23" s="5504"/>
      <c r="DT23" s="3218">
        <v>2017</v>
      </c>
      <c r="DU23" s="3218"/>
      <c r="DV23" s="3218"/>
      <c r="DW23" s="3218"/>
      <c r="DX23" s="3218"/>
      <c r="DY23" s="3218"/>
      <c r="DZ23" s="3219"/>
      <c r="EA23" s="3219"/>
      <c r="EB23" s="3219"/>
      <c r="EC23" s="3219"/>
      <c r="ED23" s="3219"/>
      <c r="EE23" s="3219"/>
      <c r="EF23" s="3218">
        <v>2017</v>
      </c>
      <c r="EG23" s="3218"/>
      <c r="EH23" s="3218"/>
      <c r="EI23" s="3218"/>
      <c r="EJ23" s="3218"/>
      <c r="EK23" s="3218"/>
      <c r="EL23" s="3219"/>
      <c r="EM23" s="3219"/>
      <c r="EN23" s="3219"/>
      <c r="EO23" s="3219"/>
      <c r="EP23" s="3219"/>
      <c r="EQ23" s="3219"/>
      <c r="ER23" s="3218">
        <v>2017</v>
      </c>
      <c r="ES23" s="3218"/>
      <c r="ET23" s="3218"/>
      <c r="EU23" s="3218"/>
      <c r="EV23" s="3218"/>
      <c r="EW23" s="3218"/>
      <c r="EX23" s="3219"/>
      <c r="EY23" s="3219"/>
      <c r="EZ23" s="3219"/>
      <c r="FA23" s="3219"/>
      <c r="FB23" s="3219"/>
      <c r="FC23" s="3219"/>
      <c r="FD23" s="2591"/>
      <c r="FE23" s="2591"/>
      <c r="FF23" s="2591"/>
      <c r="FG23" s="2591"/>
      <c r="FH23" s="2591"/>
      <c r="FI23" s="2591"/>
      <c r="FJ23" s="2591"/>
      <c r="FK23" s="2591"/>
      <c r="FL23" s="2591"/>
      <c r="FM23" s="2591"/>
      <c r="FN23" s="2591"/>
      <c r="FO23" s="2591"/>
      <c r="FP23" s="2590"/>
      <c r="FQ23" s="2591"/>
      <c r="FR23" s="2591"/>
      <c r="FS23" s="2591"/>
      <c r="FT23" s="2591"/>
      <c r="FU23" s="2591"/>
      <c r="FV23" s="2591"/>
      <c r="FW23" s="2591"/>
      <c r="FX23" s="2591"/>
      <c r="FY23" s="2591"/>
      <c r="FZ23" s="2591"/>
      <c r="GA23" s="2591"/>
      <c r="GB23" s="2592"/>
      <c r="GC23" s="2569"/>
      <c r="GD23" s="5505">
        <v>2007</v>
      </c>
      <c r="GE23" s="5506"/>
      <c r="GF23" s="5506"/>
      <c r="GG23" s="5506"/>
      <c r="GH23" s="5507">
        <v>2008</v>
      </c>
      <c r="GI23" s="5508"/>
      <c r="GJ23" s="5508"/>
      <c r="GK23" s="5509"/>
      <c r="GL23" s="5478">
        <v>2009</v>
      </c>
      <c r="GM23" s="5479"/>
      <c r="GN23" s="5479"/>
      <c r="GO23" s="5479"/>
      <c r="GP23" s="5480">
        <v>2010</v>
      </c>
      <c r="GQ23" s="5481"/>
      <c r="GR23" s="5481"/>
      <c r="GS23" s="5482"/>
      <c r="GT23" s="5483">
        <v>2011</v>
      </c>
      <c r="GU23" s="5484"/>
      <c r="GV23" s="5484"/>
      <c r="GW23" s="5485"/>
      <c r="GX23" s="5510">
        <v>2012</v>
      </c>
      <c r="GY23" s="5486"/>
      <c r="GZ23" s="5486"/>
      <c r="HA23" s="5486"/>
      <c r="HB23" s="2643">
        <v>2013</v>
      </c>
      <c r="HC23" s="2643"/>
      <c r="HD23" s="2643"/>
      <c r="HE23" s="2643"/>
      <c r="HF23" s="2644">
        <v>2014</v>
      </c>
      <c r="HG23" s="2644"/>
      <c r="HH23" s="2644"/>
      <c r="HI23" s="2644"/>
      <c r="HJ23" s="2645">
        <v>2015</v>
      </c>
      <c r="HK23" s="2645"/>
      <c r="HL23" s="2645"/>
      <c r="HM23" s="2646">
        <v>2016</v>
      </c>
      <c r="HN23" s="2646"/>
      <c r="HO23" s="2646"/>
      <c r="HP23" s="2646"/>
      <c r="HQ23" s="2647">
        <v>2017</v>
      </c>
      <c r="HR23" s="2647"/>
      <c r="HS23" s="2570"/>
      <c r="HT23" s="2569"/>
      <c r="HU23" s="2569"/>
      <c r="HV23" s="2643"/>
      <c r="HW23" s="2643"/>
      <c r="HX23" s="2643"/>
      <c r="HY23" s="2569"/>
      <c r="HZ23" s="2643"/>
      <c r="IA23" s="2643"/>
      <c r="IB23" s="2643"/>
      <c r="IC23" s="2643"/>
      <c r="ID23" s="2643"/>
      <c r="IE23" s="2643"/>
      <c r="IF23" s="2643"/>
      <c r="IG23" s="2643"/>
      <c r="IH23" s="2643"/>
      <c r="II23" s="2643"/>
      <c r="IJ23" s="2643"/>
      <c r="IK23" s="2648">
        <v>2007</v>
      </c>
      <c r="IL23" s="3098">
        <v>2008</v>
      </c>
      <c r="IM23" s="3098">
        <v>2009</v>
      </c>
      <c r="IN23" s="3098">
        <v>2010</v>
      </c>
      <c r="IO23" s="3098">
        <v>2011</v>
      </c>
      <c r="IP23" s="3098">
        <v>2012</v>
      </c>
      <c r="IQ23" s="3098">
        <v>2013</v>
      </c>
      <c r="IR23" s="3098">
        <v>2014</v>
      </c>
      <c r="IS23" s="5487" t="s">
        <v>452</v>
      </c>
      <c r="IT23" s="5487">
        <v>2016</v>
      </c>
      <c r="IU23" s="5475" t="str">
        <f>+IU15</f>
        <v>jul 2016 - jun 2017</v>
      </c>
      <c r="IV23" s="3099"/>
      <c r="IW23" s="3099"/>
      <c r="IX23" s="3099"/>
      <c r="IY23" s="3100"/>
      <c r="IZ23" s="3101"/>
      <c r="JA23" s="3578"/>
      <c r="JC23" s="3099"/>
      <c r="JD23" s="2566"/>
      <c r="JE23" s="2566"/>
      <c r="JF23" s="2566"/>
      <c r="JG23" s="2566"/>
      <c r="JH23" s="2566"/>
      <c r="JI23" s="3076"/>
      <c r="JJ23" s="2566"/>
      <c r="JK23" s="2566"/>
      <c r="JL23" s="2566"/>
      <c r="JM23" s="2566"/>
      <c r="JN23" s="2566"/>
      <c r="JO23" s="2566"/>
      <c r="JP23" s="2566"/>
      <c r="JQ23" s="2566"/>
      <c r="JS23" s="2566"/>
      <c r="JT23" s="2566"/>
      <c r="JU23" s="2566"/>
      <c r="JV23" s="2566"/>
      <c r="JW23" s="2566"/>
      <c r="JX23" s="2566"/>
      <c r="JY23" s="2566"/>
      <c r="JZ23" s="2566"/>
      <c r="KA23" s="2566"/>
      <c r="KB23" s="2566"/>
      <c r="KC23" s="2566"/>
      <c r="KD23" s="2566"/>
      <c r="KE23" s="2566"/>
      <c r="KF23" s="2566"/>
      <c r="KG23" s="2566"/>
      <c r="KH23" s="2566"/>
      <c r="KI23" s="2566"/>
      <c r="KJ23" s="2566"/>
      <c r="KK23" s="2566"/>
      <c r="KL23" s="2566"/>
      <c r="KM23" s="2566"/>
      <c r="KN23" s="2566"/>
      <c r="KO23" s="2566"/>
    </row>
    <row r="24" spans="1:301" ht="6.75" hidden="1" customHeight="1">
      <c r="A24" s="2566"/>
      <c r="B24" s="2566"/>
      <c r="C24" s="3102"/>
      <c r="D24" s="3095"/>
      <c r="E24" s="3095"/>
      <c r="F24" s="3095"/>
      <c r="G24" s="3095"/>
      <c r="H24" s="3095"/>
      <c r="I24" s="3095"/>
      <c r="J24" s="3095"/>
      <c r="K24" s="3095"/>
      <c r="L24" s="3095"/>
      <c r="M24" s="3095"/>
      <c r="N24" s="3095"/>
      <c r="O24" s="3095"/>
      <c r="P24" s="3103"/>
      <c r="Q24" s="3095"/>
      <c r="R24" s="3095"/>
      <c r="S24" s="3095"/>
      <c r="T24" s="3095"/>
      <c r="U24" s="3095"/>
      <c r="V24" s="3095"/>
      <c r="W24" s="3095"/>
      <c r="X24" s="3095"/>
      <c r="Y24" s="3095"/>
      <c r="Z24" s="3095"/>
      <c r="AA24" s="3095"/>
      <c r="AB24" s="3095"/>
      <c r="AC24" s="3095"/>
      <c r="AD24" s="3095"/>
      <c r="AE24" s="3095"/>
      <c r="AF24" s="3095"/>
      <c r="AG24" s="3095"/>
      <c r="AH24" s="3095"/>
      <c r="AI24" s="3095"/>
      <c r="AJ24" s="3095"/>
      <c r="AK24" s="3095"/>
      <c r="AL24" s="3095"/>
      <c r="AM24" s="3095"/>
      <c r="AN24" s="3095"/>
      <c r="AO24" s="3095"/>
      <c r="AP24" s="3095"/>
      <c r="AQ24" s="3095"/>
      <c r="AR24" s="3095"/>
      <c r="AS24" s="3095"/>
      <c r="AT24" s="3095"/>
      <c r="AU24" s="3095"/>
      <c r="AV24" s="3095"/>
      <c r="AW24" s="3095"/>
      <c r="AX24" s="3095"/>
      <c r="AY24" s="3095"/>
      <c r="AZ24" s="3104"/>
      <c r="BA24" s="3095"/>
      <c r="BB24" s="3095"/>
      <c r="BC24" s="3095"/>
      <c r="BD24" s="3095"/>
      <c r="BE24" s="3095"/>
      <c r="BF24" s="3095"/>
      <c r="BG24" s="3095"/>
      <c r="BH24" s="3095"/>
      <c r="BI24" s="3095"/>
      <c r="BJ24" s="3095"/>
      <c r="BK24" s="3105"/>
      <c r="BL24" s="3104"/>
      <c r="BM24" s="3095"/>
      <c r="BN24" s="3095"/>
      <c r="BO24" s="3095"/>
      <c r="BP24" s="3095"/>
      <c r="BQ24" s="3095"/>
      <c r="BR24" s="3095"/>
      <c r="BS24" s="3095"/>
      <c r="BT24" s="3095"/>
      <c r="BU24" s="3095"/>
      <c r="BV24" s="3095"/>
      <c r="BW24" s="3105"/>
      <c r="BX24" s="3104"/>
      <c r="BY24" s="3095"/>
      <c r="BZ24" s="3095"/>
      <c r="CA24" s="3095"/>
      <c r="CB24" s="3095"/>
      <c r="CC24" s="3095"/>
      <c r="CD24" s="3095"/>
      <c r="CE24" s="3095"/>
      <c r="CF24" s="3095"/>
      <c r="CG24" s="3095"/>
      <c r="CH24" s="3095"/>
      <c r="CI24" s="3095"/>
      <c r="CJ24" s="3109"/>
      <c r="CK24" s="3110"/>
      <c r="CL24" s="3110"/>
      <c r="CM24" s="3110"/>
      <c r="CN24" s="3110"/>
      <c r="CO24" s="3110"/>
      <c r="CP24" s="3110"/>
      <c r="CQ24" s="3110"/>
      <c r="CR24" s="3110"/>
      <c r="CS24" s="3110"/>
      <c r="CT24" s="3110"/>
      <c r="CU24" s="3111"/>
      <c r="CV24" s="3112"/>
      <c r="CW24" s="3113"/>
      <c r="CX24" s="3113"/>
      <c r="CY24" s="3113"/>
      <c r="CZ24" s="3113"/>
      <c r="DA24" s="3113"/>
      <c r="DB24" s="3113"/>
      <c r="DC24" s="3113"/>
      <c r="DD24" s="3113"/>
      <c r="DE24" s="3220"/>
      <c r="DF24" s="3113"/>
      <c r="DG24" s="3113"/>
      <c r="DH24" s="3114"/>
      <c r="DI24" s="3114"/>
      <c r="DJ24" s="3114"/>
      <c r="DK24" s="3114"/>
      <c r="DL24" s="3114"/>
      <c r="DM24" s="3114"/>
      <c r="DN24" s="3114"/>
      <c r="DO24" s="3114"/>
      <c r="DP24" s="3114"/>
      <c r="DQ24" s="3114"/>
      <c r="DR24" s="3114"/>
      <c r="DS24" s="3239"/>
      <c r="DT24" s="3115"/>
      <c r="DU24" s="3115"/>
      <c r="DV24" s="3115"/>
      <c r="DW24" s="3115"/>
      <c r="DX24" s="3115"/>
      <c r="DY24" s="3115"/>
      <c r="DZ24" s="3116"/>
      <c r="EA24" s="3116"/>
      <c r="EB24" s="3116"/>
      <c r="EC24" s="3116"/>
      <c r="ED24" s="3116"/>
      <c r="EE24" s="3116"/>
      <c r="EF24" s="3115"/>
      <c r="EG24" s="3115"/>
      <c r="EH24" s="3115"/>
      <c r="EI24" s="3115"/>
      <c r="EJ24" s="3115"/>
      <c r="EK24" s="3115"/>
      <c r="EL24" s="3116"/>
      <c r="EM24" s="3116"/>
      <c r="EN24" s="3116"/>
      <c r="EO24" s="3116"/>
      <c r="EP24" s="3116"/>
      <c r="EQ24" s="3116"/>
      <c r="ER24" s="3115"/>
      <c r="ES24" s="3115"/>
      <c r="ET24" s="3115"/>
      <c r="EU24" s="3115"/>
      <c r="EV24" s="3115"/>
      <c r="EW24" s="3115"/>
      <c r="EX24" s="3116"/>
      <c r="EY24" s="3116"/>
      <c r="EZ24" s="3116"/>
      <c r="FA24" s="3116"/>
      <c r="FB24" s="3116"/>
      <c r="FC24" s="3116"/>
      <c r="FD24" s="2649"/>
      <c r="FE24" s="2649"/>
      <c r="FF24" s="2649"/>
      <c r="FG24" s="2649"/>
      <c r="FH24" s="2649"/>
      <c r="FI24" s="2649"/>
      <c r="FJ24" s="2649"/>
      <c r="FK24" s="2649"/>
      <c r="FL24" s="2649"/>
      <c r="FM24" s="2649"/>
      <c r="FN24" s="2649"/>
      <c r="FO24" s="2649"/>
      <c r="FP24" s="2650"/>
      <c r="FQ24" s="2649"/>
      <c r="FR24" s="2649"/>
      <c r="FS24" s="2649"/>
      <c r="FT24" s="2649"/>
      <c r="FU24" s="2649"/>
      <c r="FV24" s="2649"/>
      <c r="FW24" s="2649"/>
      <c r="FX24" s="2649"/>
      <c r="FY24" s="2649"/>
      <c r="FZ24" s="2649"/>
      <c r="GA24" s="2649"/>
      <c r="GB24" s="2592"/>
      <c r="GC24" s="2651"/>
      <c r="GD24" s="2641"/>
      <c r="GE24" s="2641"/>
      <c r="GF24" s="2641"/>
      <c r="GG24" s="2641"/>
      <c r="GH24" s="2641"/>
      <c r="GI24" s="2641"/>
      <c r="GJ24" s="2641"/>
      <c r="GK24" s="2641"/>
      <c r="GL24" s="2641"/>
      <c r="GM24" s="2641"/>
      <c r="GN24" s="2641"/>
      <c r="GO24" s="2641"/>
      <c r="GP24" s="2641"/>
      <c r="GQ24" s="2641"/>
      <c r="GR24" s="2641"/>
      <c r="GS24" s="2641"/>
      <c r="GT24" s="2652"/>
      <c r="GU24" s="2652"/>
      <c r="GV24" s="2652"/>
      <c r="GW24" s="2652"/>
      <c r="GX24" s="2641"/>
      <c r="GY24" s="2641"/>
      <c r="GZ24" s="2641"/>
      <c r="HA24" s="2641"/>
      <c r="HB24" s="2641"/>
      <c r="HC24" s="2641"/>
      <c r="HD24" s="2641"/>
      <c r="HE24" s="2641"/>
      <c r="HF24" s="2644"/>
      <c r="HG24" s="2644"/>
      <c r="HH24" s="2644"/>
      <c r="HI24" s="2644"/>
      <c r="HJ24" s="2653"/>
      <c r="HK24" s="2653"/>
      <c r="HL24" s="2653"/>
      <c r="HM24" s="2591"/>
      <c r="HN24" s="2591"/>
      <c r="HO24" s="2591"/>
      <c r="HP24" s="2591"/>
      <c r="HQ24" s="2591"/>
      <c r="HR24" s="2591"/>
      <c r="HS24" s="2591"/>
      <c r="HT24" s="2641"/>
      <c r="HU24" s="2641"/>
      <c r="HV24" s="2641"/>
      <c r="HW24" s="2641"/>
      <c r="HX24" s="2641"/>
      <c r="HY24" s="2641"/>
      <c r="HZ24" s="2641"/>
      <c r="IA24" s="2641"/>
      <c r="IB24" s="2641"/>
      <c r="IC24" s="2641"/>
      <c r="ID24" s="2641"/>
      <c r="IE24" s="2641"/>
      <c r="IF24" s="2641"/>
      <c r="IG24" s="2641"/>
      <c r="IH24" s="2641"/>
      <c r="II24" s="2641"/>
      <c r="IJ24" s="2641"/>
      <c r="IK24" s="2654"/>
      <c r="IL24" s="3117"/>
      <c r="IM24" s="3117"/>
      <c r="IN24" s="3117"/>
      <c r="IO24" s="3117"/>
      <c r="IP24" s="3117"/>
      <c r="IQ24" s="3117"/>
      <c r="IR24" s="3117"/>
      <c r="IS24" s="5487"/>
      <c r="IT24" s="5487"/>
      <c r="IU24" s="5476"/>
      <c r="IV24" s="3099"/>
      <c r="IW24" s="3099"/>
      <c r="IX24" s="3099"/>
      <c r="IY24" s="3100"/>
      <c r="IZ24" s="3101"/>
      <c r="JA24" s="3578"/>
      <c r="JC24" s="3099"/>
      <c r="JD24" s="2566"/>
      <c r="JE24" s="2566"/>
      <c r="JF24" s="2566"/>
      <c r="JG24" s="2566"/>
      <c r="JH24" s="2566"/>
      <c r="JI24" s="3076"/>
      <c r="JJ24" s="2566"/>
      <c r="JK24" s="2566"/>
      <c r="JL24" s="2566"/>
      <c r="JM24" s="2566"/>
      <c r="JN24" s="2566"/>
      <c r="JO24" s="2566"/>
      <c r="JP24" s="2566"/>
      <c r="JQ24" s="2566"/>
      <c r="JS24" s="2566"/>
      <c r="JT24" s="2566"/>
      <c r="JU24" s="2566"/>
      <c r="JV24" s="2566"/>
      <c r="JW24" s="2566"/>
      <c r="JX24" s="2566"/>
      <c r="JY24" s="2566"/>
      <c r="JZ24" s="2566"/>
      <c r="KA24" s="2566"/>
      <c r="KB24" s="2566"/>
      <c r="KC24" s="2566"/>
      <c r="KD24" s="2566"/>
      <c r="KE24" s="2566"/>
      <c r="KF24" s="2566"/>
      <c r="KG24" s="2566"/>
      <c r="KH24" s="2566"/>
      <c r="KI24" s="2566"/>
      <c r="KJ24" s="2566"/>
      <c r="KK24" s="2566"/>
      <c r="KL24" s="2566"/>
      <c r="KM24" s="2566"/>
      <c r="KN24" s="2566"/>
      <c r="KO24" s="2566"/>
    </row>
    <row r="25" spans="1:301" ht="21" hidden="1" customHeight="1">
      <c r="A25" s="2566"/>
      <c r="B25" s="2566"/>
      <c r="C25" s="3056" t="s">
        <v>91</v>
      </c>
      <c r="D25" s="3118" t="s">
        <v>36</v>
      </c>
      <c r="E25" s="3119" t="s">
        <v>37</v>
      </c>
      <c r="F25" s="3119" t="s">
        <v>38</v>
      </c>
      <c r="G25" s="3119" t="s">
        <v>39</v>
      </c>
      <c r="H25" s="3119" t="s">
        <v>40</v>
      </c>
      <c r="I25" s="3119" t="s">
        <v>41</v>
      </c>
      <c r="J25" s="3119" t="s">
        <v>42</v>
      </c>
      <c r="K25" s="3119" t="s">
        <v>43</v>
      </c>
      <c r="L25" s="3119" t="s">
        <v>44</v>
      </c>
      <c r="M25" s="3119" t="s">
        <v>45</v>
      </c>
      <c r="N25" s="3119" t="s">
        <v>46</v>
      </c>
      <c r="O25" s="3120" t="s">
        <v>47</v>
      </c>
      <c r="P25" s="3121" t="s">
        <v>36</v>
      </c>
      <c r="Q25" s="3119" t="s">
        <v>37</v>
      </c>
      <c r="R25" s="3119" t="s">
        <v>38</v>
      </c>
      <c r="S25" s="3119" t="s">
        <v>39</v>
      </c>
      <c r="T25" s="3119" t="s">
        <v>40</v>
      </c>
      <c r="U25" s="3119" t="s">
        <v>41</v>
      </c>
      <c r="V25" s="3119" t="s">
        <v>42</v>
      </c>
      <c r="W25" s="3119" t="s">
        <v>43</v>
      </c>
      <c r="X25" s="3119" t="s">
        <v>44</v>
      </c>
      <c r="Y25" s="3119" t="s">
        <v>45</v>
      </c>
      <c r="Z25" s="3119" t="s">
        <v>46</v>
      </c>
      <c r="AA25" s="3120" t="s">
        <v>47</v>
      </c>
      <c r="AB25" s="3122" t="s">
        <v>36</v>
      </c>
      <c r="AC25" s="3123" t="s">
        <v>37</v>
      </c>
      <c r="AD25" s="3123" t="s">
        <v>38</v>
      </c>
      <c r="AE25" s="3123" t="s">
        <v>39</v>
      </c>
      <c r="AF25" s="3123" t="s">
        <v>40</v>
      </c>
      <c r="AG25" s="3123" t="s">
        <v>41</v>
      </c>
      <c r="AH25" s="3123" t="s">
        <v>42</v>
      </c>
      <c r="AI25" s="3123" t="s">
        <v>43</v>
      </c>
      <c r="AJ25" s="3123" t="s">
        <v>44</v>
      </c>
      <c r="AK25" s="3123" t="s">
        <v>45</v>
      </c>
      <c r="AL25" s="3123" t="s">
        <v>46</v>
      </c>
      <c r="AM25" s="3123" t="s">
        <v>47</v>
      </c>
      <c r="AN25" s="3123" t="s">
        <v>36</v>
      </c>
      <c r="AO25" s="3123" t="s">
        <v>37</v>
      </c>
      <c r="AP25" s="3123" t="s">
        <v>38</v>
      </c>
      <c r="AQ25" s="3123" t="s">
        <v>39</v>
      </c>
      <c r="AR25" s="3123" t="s">
        <v>40</v>
      </c>
      <c r="AS25" s="3123" t="s">
        <v>40</v>
      </c>
      <c r="AT25" s="3123" t="s">
        <v>42</v>
      </c>
      <c r="AU25" s="3123" t="s">
        <v>43</v>
      </c>
      <c r="AV25" s="3123" t="s">
        <v>44</v>
      </c>
      <c r="AW25" s="3123" t="s">
        <v>45</v>
      </c>
      <c r="AX25" s="3123" t="s">
        <v>46</v>
      </c>
      <c r="AY25" s="3124" t="s">
        <v>47</v>
      </c>
      <c r="AZ25" s="3125" t="s">
        <v>36</v>
      </c>
      <c r="BA25" s="3126" t="s">
        <v>37</v>
      </c>
      <c r="BB25" s="3126" t="s">
        <v>38</v>
      </c>
      <c r="BC25" s="3126" t="s">
        <v>39</v>
      </c>
      <c r="BD25" s="3126" t="s">
        <v>40</v>
      </c>
      <c r="BE25" s="3126" t="s">
        <v>41</v>
      </c>
      <c r="BF25" s="3126" t="s">
        <v>42</v>
      </c>
      <c r="BG25" s="3126" t="s">
        <v>43</v>
      </c>
      <c r="BH25" s="3126" t="s">
        <v>44</v>
      </c>
      <c r="BI25" s="3126" t="s">
        <v>45</v>
      </c>
      <c r="BJ25" s="3126" t="s">
        <v>46</v>
      </c>
      <c r="BK25" s="3127" t="s">
        <v>47</v>
      </c>
      <c r="BL25" s="3128" t="s">
        <v>36</v>
      </c>
      <c r="BM25" s="3129" t="s">
        <v>37</v>
      </c>
      <c r="BN25" s="3129" t="s">
        <v>38</v>
      </c>
      <c r="BO25" s="3129" t="s">
        <v>39</v>
      </c>
      <c r="BP25" s="3129" t="s">
        <v>40</v>
      </c>
      <c r="BQ25" s="3129" t="s">
        <v>41</v>
      </c>
      <c r="BR25" s="3129" t="s">
        <v>42</v>
      </c>
      <c r="BS25" s="3129" t="s">
        <v>43</v>
      </c>
      <c r="BT25" s="3130" t="s">
        <v>44</v>
      </c>
      <c r="BU25" s="3130" t="s">
        <v>45</v>
      </c>
      <c r="BV25" s="3130" t="s">
        <v>46</v>
      </c>
      <c r="BW25" s="3221" t="s">
        <v>47</v>
      </c>
      <c r="BX25" s="3222" t="s">
        <v>36</v>
      </c>
      <c r="BY25" s="3132" t="s">
        <v>37</v>
      </c>
      <c r="BZ25" s="3132" t="s">
        <v>38</v>
      </c>
      <c r="CA25" s="3132" t="s">
        <v>39</v>
      </c>
      <c r="CB25" s="3132" t="s">
        <v>40</v>
      </c>
      <c r="CC25" s="3132" t="s">
        <v>41</v>
      </c>
      <c r="CD25" s="3132" t="s">
        <v>42</v>
      </c>
      <c r="CE25" s="3132" t="s">
        <v>43</v>
      </c>
      <c r="CF25" s="3132" t="s">
        <v>44</v>
      </c>
      <c r="CG25" s="3132" t="s">
        <v>45</v>
      </c>
      <c r="CH25" s="3132" t="s">
        <v>46</v>
      </c>
      <c r="CI25" s="3132" t="s">
        <v>47</v>
      </c>
      <c r="CJ25" s="3133" t="s">
        <v>36</v>
      </c>
      <c r="CK25" s="3123" t="s">
        <v>37</v>
      </c>
      <c r="CL25" s="3123" t="s">
        <v>38</v>
      </c>
      <c r="CM25" s="3123" t="s">
        <v>39</v>
      </c>
      <c r="CN25" s="3123" t="s">
        <v>40</v>
      </c>
      <c r="CO25" s="3123" t="s">
        <v>41</v>
      </c>
      <c r="CP25" s="3123" t="s">
        <v>42</v>
      </c>
      <c r="CQ25" s="3123" t="s">
        <v>43</v>
      </c>
      <c r="CR25" s="3123" t="s">
        <v>44</v>
      </c>
      <c r="CS25" s="3123" t="s">
        <v>45</v>
      </c>
      <c r="CT25" s="3123" t="s">
        <v>46</v>
      </c>
      <c r="CU25" s="3134" t="s">
        <v>47</v>
      </c>
      <c r="CV25" s="3132" t="s">
        <v>36</v>
      </c>
      <c r="CW25" s="3132" t="s">
        <v>37</v>
      </c>
      <c r="CX25" s="3132" t="s">
        <v>38</v>
      </c>
      <c r="CY25" s="3132" t="s">
        <v>39</v>
      </c>
      <c r="CZ25" s="3132" t="s">
        <v>40</v>
      </c>
      <c r="DA25" s="3132" t="s">
        <v>41</v>
      </c>
      <c r="DB25" s="3132" t="s">
        <v>42</v>
      </c>
      <c r="DC25" s="3132" t="s">
        <v>43</v>
      </c>
      <c r="DD25" s="3132" t="s">
        <v>44</v>
      </c>
      <c r="DE25" s="3132" t="s">
        <v>45</v>
      </c>
      <c r="DF25" s="3132"/>
      <c r="DG25" s="3132"/>
      <c r="DH25" s="2528" t="s">
        <v>36</v>
      </c>
      <c r="DI25" s="2528" t="s">
        <v>37</v>
      </c>
      <c r="DJ25" s="2528" t="s">
        <v>38</v>
      </c>
      <c r="DK25" s="2528" t="s">
        <v>39</v>
      </c>
      <c r="DL25" s="2528" t="s">
        <v>40</v>
      </c>
      <c r="DM25" s="2528" t="s">
        <v>41</v>
      </c>
      <c r="DN25" s="2528" t="s">
        <v>42</v>
      </c>
      <c r="DO25" s="2528" t="s">
        <v>43</v>
      </c>
      <c r="DP25" s="2528" t="s">
        <v>183</v>
      </c>
      <c r="DQ25" s="2528" t="s">
        <v>45</v>
      </c>
      <c r="DR25" s="2528" t="s">
        <v>46</v>
      </c>
      <c r="DS25" s="2528" t="s">
        <v>47</v>
      </c>
      <c r="DT25" s="2527" t="s">
        <v>36</v>
      </c>
      <c r="DU25" s="2527" t="s">
        <v>37</v>
      </c>
      <c r="DV25" s="2527" t="s">
        <v>38</v>
      </c>
      <c r="DW25" s="2527" t="s">
        <v>39</v>
      </c>
      <c r="DX25" s="2527" t="s">
        <v>40</v>
      </c>
      <c r="DY25" s="2527" t="s">
        <v>41</v>
      </c>
      <c r="DZ25" s="2528"/>
      <c r="EA25" s="2528"/>
      <c r="EB25" s="2528"/>
      <c r="EC25" s="2528"/>
      <c r="ED25" s="2528"/>
      <c r="EE25" s="2528"/>
      <c r="EF25" s="2527" t="s">
        <v>36</v>
      </c>
      <c r="EG25" s="2527" t="s">
        <v>37</v>
      </c>
      <c r="EH25" s="2527" t="s">
        <v>38</v>
      </c>
      <c r="EI25" s="2527" t="s">
        <v>39</v>
      </c>
      <c r="EJ25" s="2527" t="s">
        <v>40</v>
      </c>
      <c r="EK25" s="2527" t="s">
        <v>41</v>
      </c>
      <c r="EL25" s="2528"/>
      <c r="EM25" s="2528"/>
      <c r="EN25" s="2528"/>
      <c r="EO25" s="2528"/>
      <c r="EP25" s="2528"/>
      <c r="EQ25" s="2528"/>
      <c r="ER25" s="2527" t="s">
        <v>36</v>
      </c>
      <c r="ES25" s="2527" t="s">
        <v>37</v>
      </c>
      <c r="ET25" s="2527" t="s">
        <v>38</v>
      </c>
      <c r="EU25" s="2527" t="s">
        <v>39</v>
      </c>
      <c r="EV25" s="2527" t="s">
        <v>40</v>
      </c>
      <c r="EW25" s="2527" t="s">
        <v>41</v>
      </c>
      <c r="EX25" s="2528"/>
      <c r="EY25" s="2528"/>
      <c r="EZ25" s="2528"/>
      <c r="FA25" s="2528"/>
      <c r="FB25" s="2528"/>
      <c r="FC25" s="2528"/>
      <c r="FD25" s="2655"/>
      <c r="FE25" s="2655"/>
      <c r="FF25" s="2655"/>
      <c r="FG25" s="2655"/>
      <c r="FH25" s="2655"/>
      <c r="FI25" s="2655"/>
      <c r="FJ25" s="2655"/>
      <c r="FK25" s="2655"/>
      <c r="FL25" s="2655"/>
      <c r="FM25" s="2655"/>
      <c r="FN25" s="2655"/>
      <c r="FO25" s="2655"/>
      <c r="FP25" s="2656"/>
      <c r="FQ25" s="2655"/>
      <c r="FR25" s="2655"/>
      <c r="FS25" s="2655"/>
      <c r="FT25" s="2655"/>
      <c r="FU25" s="2655"/>
      <c r="FV25" s="2655"/>
      <c r="FW25" s="2655"/>
      <c r="FX25" s="2655"/>
      <c r="FY25" s="2655"/>
      <c r="FZ25" s="2655"/>
      <c r="GA25" s="2655"/>
      <c r="GB25" s="2592"/>
      <c r="GC25" s="2569"/>
      <c r="GD25" s="2657" t="s">
        <v>167</v>
      </c>
      <c r="GE25" s="2658" t="s">
        <v>453</v>
      </c>
      <c r="GF25" s="2658" t="s">
        <v>454</v>
      </c>
      <c r="GG25" s="2659" t="s">
        <v>455</v>
      </c>
      <c r="GH25" s="2657" t="s">
        <v>167</v>
      </c>
      <c r="GI25" s="2658" t="s">
        <v>453</v>
      </c>
      <c r="GJ25" s="2658" t="s">
        <v>454</v>
      </c>
      <c r="GK25" s="2659" t="s">
        <v>455</v>
      </c>
      <c r="GL25" s="2660" t="s">
        <v>167</v>
      </c>
      <c r="GM25" s="2661" t="s">
        <v>453</v>
      </c>
      <c r="GN25" s="2661" t="s">
        <v>456</v>
      </c>
      <c r="GO25" s="2661" t="s">
        <v>457</v>
      </c>
      <c r="GP25" s="2662" t="s">
        <v>167</v>
      </c>
      <c r="GQ25" s="2663" t="s">
        <v>458</v>
      </c>
      <c r="GR25" s="2663" t="s">
        <v>459</v>
      </c>
      <c r="GS25" s="2664" t="s">
        <v>455</v>
      </c>
      <c r="GT25" s="2665" t="s">
        <v>167</v>
      </c>
      <c r="GU25" s="2666" t="s">
        <v>453</v>
      </c>
      <c r="GV25" s="2666" t="s">
        <v>456</v>
      </c>
      <c r="GW25" s="2667" t="s">
        <v>457</v>
      </c>
      <c r="GX25" s="2632" t="s">
        <v>167</v>
      </c>
      <c r="GY25" s="2632" t="s">
        <v>453</v>
      </c>
      <c r="GZ25" s="2632" t="s">
        <v>456</v>
      </c>
      <c r="HA25" s="2632" t="s">
        <v>457</v>
      </c>
      <c r="HB25" s="2632" t="s">
        <v>167</v>
      </c>
      <c r="HC25" s="2632" t="s">
        <v>453</v>
      </c>
      <c r="HD25" s="2632" t="s">
        <v>456</v>
      </c>
      <c r="HE25" s="2632" t="s">
        <v>457</v>
      </c>
      <c r="HF25" s="2632" t="s">
        <v>167</v>
      </c>
      <c r="HG25" s="2632" t="s">
        <v>453</v>
      </c>
      <c r="HH25" s="2632" t="s">
        <v>456</v>
      </c>
      <c r="HI25" s="2632" t="s">
        <v>457</v>
      </c>
      <c r="HJ25" s="2632" t="s">
        <v>167</v>
      </c>
      <c r="HK25" s="2632" t="s">
        <v>453</v>
      </c>
      <c r="HL25" s="2632" t="s">
        <v>456</v>
      </c>
      <c r="HM25" s="2635" t="s">
        <v>167</v>
      </c>
      <c r="HN25" s="2635" t="s">
        <v>453</v>
      </c>
      <c r="HO25" s="2635" t="s">
        <v>456</v>
      </c>
      <c r="HP25" s="2635" t="s">
        <v>457</v>
      </c>
      <c r="HQ25" s="2635" t="s">
        <v>167</v>
      </c>
      <c r="HR25" s="2635" t="s">
        <v>453</v>
      </c>
      <c r="HS25" s="2570"/>
      <c r="HT25" s="2569"/>
      <c r="HU25" s="2632"/>
      <c r="HV25" s="2632"/>
      <c r="HW25" s="2632"/>
      <c r="HX25" s="2632"/>
      <c r="HY25" s="2632"/>
      <c r="HZ25" s="2632"/>
      <c r="IA25" s="2632"/>
      <c r="IB25" s="2632"/>
      <c r="IC25" s="2632"/>
      <c r="ID25" s="2632"/>
      <c r="IE25" s="2632"/>
      <c r="IF25" s="2632"/>
      <c r="IG25" s="2632"/>
      <c r="IH25" s="2632"/>
      <c r="II25" s="2632"/>
      <c r="IJ25" s="2632"/>
      <c r="IK25" s="2654" t="s">
        <v>48</v>
      </c>
      <c r="IL25" s="3135" t="s">
        <v>48</v>
      </c>
      <c r="IM25" s="3135" t="s">
        <v>48</v>
      </c>
      <c r="IN25" s="3135" t="s">
        <v>48</v>
      </c>
      <c r="IO25" s="3135" t="s">
        <v>48</v>
      </c>
      <c r="IP25" s="3135" t="s">
        <v>48</v>
      </c>
      <c r="IQ25" s="3135" t="s">
        <v>48</v>
      </c>
      <c r="IR25" s="3135" t="s">
        <v>48</v>
      </c>
      <c r="IS25" s="5487"/>
      <c r="IT25" s="5487" t="s">
        <v>48</v>
      </c>
      <c r="IU25" s="5477"/>
      <c r="IV25" s="3099"/>
      <c r="IW25" s="3099"/>
      <c r="IX25" s="3099"/>
      <c r="IY25" s="3100"/>
      <c r="IZ25" s="3101"/>
      <c r="JA25" s="3578"/>
      <c r="JC25" s="3099"/>
      <c r="JD25" s="2566"/>
      <c r="JE25" s="2566"/>
      <c r="JF25" s="2566"/>
      <c r="JG25" s="2566"/>
      <c r="JH25" s="2566"/>
      <c r="JI25" s="3076"/>
      <c r="JJ25" s="2566"/>
      <c r="JK25" s="2566"/>
      <c r="JL25" s="2566"/>
      <c r="JM25" s="2566"/>
      <c r="JN25" s="2566"/>
      <c r="JO25" s="2566"/>
      <c r="JP25" s="2566"/>
      <c r="JQ25" s="2566"/>
      <c r="JS25" s="2566"/>
      <c r="JT25" s="2566"/>
      <c r="JU25" s="2566"/>
      <c r="JV25" s="2566"/>
      <c r="JW25" s="2566"/>
      <c r="JX25" s="2566"/>
      <c r="JY25" s="2566"/>
      <c r="JZ25" s="2566"/>
      <c r="KA25" s="2566"/>
      <c r="KB25" s="2566"/>
      <c r="KC25" s="2566"/>
      <c r="KD25" s="2566"/>
      <c r="KE25" s="2566"/>
      <c r="KF25" s="2566"/>
      <c r="KG25" s="2566"/>
      <c r="KH25" s="2566"/>
      <c r="KI25" s="2566"/>
      <c r="KJ25" s="2566"/>
      <c r="KK25" s="2566"/>
      <c r="KL25" s="2566"/>
      <c r="KM25" s="2566"/>
      <c r="KN25" s="2566"/>
      <c r="KO25" s="2566"/>
    </row>
    <row r="26" spans="1:301" ht="21.9" hidden="1" customHeight="1">
      <c r="A26" s="2566"/>
      <c r="B26" s="3045"/>
      <c r="C26" s="3136" t="s">
        <v>467</v>
      </c>
      <c r="D26" s="3137">
        <v>1565</v>
      </c>
      <c r="E26" s="3138">
        <v>1721</v>
      </c>
      <c r="F26" s="3138">
        <v>1539</v>
      </c>
      <c r="G26" s="3138">
        <v>1325</v>
      </c>
      <c r="H26" s="3138">
        <v>1418</v>
      </c>
      <c r="I26" s="3138">
        <v>3883</v>
      </c>
      <c r="J26" s="3138">
        <v>3794</v>
      </c>
      <c r="K26" s="3138">
        <v>2750</v>
      </c>
      <c r="L26" s="3138">
        <v>1321</v>
      </c>
      <c r="M26" s="3138">
        <v>1108</v>
      </c>
      <c r="N26" s="3138">
        <v>1678</v>
      </c>
      <c r="O26" s="3139">
        <v>2874</v>
      </c>
      <c r="P26" s="3140">
        <v>1866</v>
      </c>
      <c r="Q26" s="3141">
        <v>2065</v>
      </c>
      <c r="R26" s="3141">
        <v>1833</v>
      </c>
      <c r="S26" s="3141">
        <v>1141</v>
      </c>
      <c r="T26" s="3141">
        <v>1459</v>
      </c>
      <c r="U26" s="3141">
        <v>3630</v>
      </c>
      <c r="V26" s="3141">
        <v>3424</v>
      </c>
      <c r="W26" s="3141">
        <v>2608</v>
      </c>
      <c r="X26" s="3141">
        <v>1078</v>
      </c>
      <c r="Y26" s="3141">
        <v>998</v>
      </c>
      <c r="Z26" s="3141">
        <v>1285</v>
      </c>
      <c r="AA26" s="3142">
        <v>2690</v>
      </c>
      <c r="AB26" s="3143">
        <v>1709</v>
      </c>
      <c r="AC26" s="3144">
        <v>1790</v>
      </c>
      <c r="AD26" s="3144">
        <v>1351</v>
      </c>
      <c r="AE26" s="3144">
        <v>1578</v>
      </c>
      <c r="AF26" s="3144">
        <v>1519</v>
      </c>
      <c r="AG26" s="3144">
        <v>4093</v>
      </c>
      <c r="AH26" s="3144">
        <v>3431</v>
      </c>
      <c r="AI26" s="3144">
        <v>2565</v>
      </c>
      <c r="AJ26" s="3144">
        <v>1351</v>
      </c>
      <c r="AK26" s="3144">
        <v>1261</v>
      </c>
      <c r="AL26" s="3144">
        <v>1426</v>
      </c>
      <c r="AM26" s="3144">
        <v>3049</v>
      </c>
      <c r="AN26" s="3145">
        <v>1728</v>
      </c>
      <c r="AO26" s="3145">
        <v>1719</v>
      </c>
      <c r="AP26" s="3145">
        <v>1658</v>
      </c>
      <c r="AQ26" s="3145">
        <v>1152</v>
      </c>
      <c r="AR26" s="3145">
        <v>1509</v>
      </c>
      <c r="AS26" s="3145">
        <v>3868</v>
      </c>
      <c r="AT26" s="3145">
        <v>3524</v>
      </c>
      <c r="AU26" s="3145">
        <v>2752</v>
      </c>
      <c r="AV26" s="3145">
        <v>1492</v>
      </c>
      <c r="AW26" s="3145">
        <v>1192</v>
      </c>
      <c r="AX26" s="3145">
        <v>1435.7276847211963</v>
      </c>
      <c r="AY26" s="3146">
        <v>3158</v>
      </c>
      <c r="AZ26" s="3147">
        <v>1761</v>
      </c>
      <c r="BA26" s="3148">
        <v>1584</v>
      </c>
      <c r="BB26" s="3148">
        <v>1347</v>
      </c>
      <c r="BC26" s="3148">
        <v>1414</v>
      </c>
      <c r="BD26" s="3148">
        <v>1256</v>
      </c>
      <c r="BE26" s="3148">
        <v>3861</v>
      </c>
      <c r="BF26" s="3148">
        <v>3357</v>
      </c>
      <c r="BG26" s="3148">
        <v>2543</v>
      </c>
      <c r="BH26" s="3148">
        <v>1301</v>
      </c>
      <c r="BI26" s="3148">
        <v>1186</v>
      </c>
      <c r="BJ26" s="3148">
        <v>1312</v>
      </c>
      <c r="BK26" s="3149">
        <v>3224</v>
      </c>
      <c r="BL26" s="3150">
        <v>1841</v>
      </c>
      <c r="BM26" s="3151">
        <v>1508</v>
      </c>
      <c r="BN26" s="3151">
        <v>1407</v>
      </c>
      <c r="BO26" s="3151">
        <v>1220</v>
      </c>
      <c r="BP26" s="3151">
        <v>1222</v>
      </c>
      <c r="BQ26" s="3151">
        <v>4012</v>
      </c>
      <c r="BR26" s="3151">
        <v>3739</v>
      </c>
      <c r="BS26" s="3151">
        <v>2319</v>
      </c>
      <c r="BT26" s="3152">
        <v>1284</v>
      </c>
      <c r="BU26" s="3152">
        <v>1177</v>
      </c>
      <c r="BV26" s="3152">
        <v>1409</v>
      </c>
      <c r="BW26" s="3223">
        <v>4025</v>
      </c>
      <c r="BX26" s="3224">
        <v>1725</v>
      </c>
      <c r="BY26" s="3155">
        <v>1774</v>
      </c>
      <c r="BZ26" s="3155">
        <v>1869</v>
      </c>
      <c r="CA26" s="3155">
        <v>1391</v>
      </c>
      <c r="CB26" s="3155">
        <v>1690</v>
      </c>
      <c r="CC26" s="3155">
        <v>4649</v>
      </c>
      <c r="CD26" s="3155">
        <v>4074</v>
      </c>
      <c r="CE26" s="3155">
        <v>2913</v>
      </c>
      <c r="CF26" s="3155">
        <v>1754</v>
      </c>
      <c r="CG26" s="3155">
        <v>1875</v>
      </c>
      <c r="CH26" s="3155">
        <v>2162</v>
      </c>
      <c r="CI26" s="3156">
        <v>3979</v>
      </c>
      <c r="CJ26" s="3157">
        <v>1923</v>
      </c>
      <c r="CK26" s="3158">
        <v>2361</v>
      </c>
      <c r="CL26" s="3158">
        <v>1769</v>
      </c>
      <c r="CM26" s="3158">
        <v>1968</v>
      </c>
      <c r="CN26" s="3158">
        <v>1715</v>
      </c>
      <c r="CO26" s="3158">
        <v>3327</v>
      </c>
      <c r="CP26" s="3158">
        <v>4297</v>
      </c>
      <c r="CQ26" s="3158">
        <v>2741</v>
      </c>
      <c r="CR26" s="3158">
        <v>1573</v>
      </c>
      <c r="CS26" s="3158">
        <v>1642</v>
      </c>
      <c r="CT26" s="3158">
        <v>1839</v>
      </c>
      <c r="CU26" s="3159">
        <v>4733</v>
      </c>
      <c r="CV26" s="3240">
        <v>1954</v>
      </c>
      <c r="CW26" s="3158">
        <v>2036</v>
      </c>
      <c r="CX26" s="3241">
        <v>1880</v>
      </c>
      <c r="CY26" s="3241">
        <v>1604</v>
      </c>
      <c r="CZ26" s="3241">
        <v>1687</v>
      </c>
      <c r="DA26" s="3241">
        <v>4518</v>
      </c>
      <c r="DB26" s="3241">
        <v>4779</v>
      </c>
      <c r="DC26" s="3241">
        <v>2759</v>
      </c>
      <c r="DD26" s="3161">
        <v>1535</v>
      </c>
      <c r="DE26" s="3161">
        <v>1558</v>
      </c>
      <c r="DF26" s="3148"/>
      <c r="DG26" s="3148"/>
      <c r="DH26" s="3242">
        <v>2011</v>
      </c>
      <c r="DI26" s="3243">
        <v>1939</v>
      </c>
      <c r="DJ26" s="3243">
        <v>2081</v>
      </c>
      <c r="DK26" s="3164">
        <v>1219</v>
      </c>
      <c r="DL26" s="3164">
        <v>1321</v>
      </c>
      <c r="DM26" s="3164">
        <v>4182</v>
      </c>
      <c r="DN26" s="3164">
        <v>4189</v>
      </c>
      <c r="DO26" s="3164">
        <v>2449</v>
      </c>
      <c r="DP26" s="3164">
        <v>1167</v>
      </c>
      <c r="DQ26" s="3164">
        <v>1212</v>
      </c>
      <c r="DR26" s="3164">
        <v>1527</v>
      </c>
      <c r="DS26" s="3163">
        <v>4253</v>
      </c>
      <c r="DT26" s="3165">
        <v>1835</v>
      </c>
      <c r="DU26" s="3165">
        <v>1906</v>
      </c>
      <c r="DV26" s="3165">
        <v>1711</v>
      </c>
      <c r="DW26" s="3165">
        <v>1952</v>
      </c>
      <c r="DX26" s="3165">
        <v>1296</v>
      </c>
      <c r="DY26" s="3165">
        <v>4435</v>
      </c>
      <c r="DZ26" s="3166"/>
      <c r="EA26" s="3166"/>
      <c r="EB26" s="3166"/>
      <c r="EC26" s="3166"/>
      <c r="ED26" s="3166"/>
      <c r="EE26" s="3166"/>
      <c r="EF26" s="3165">
        <v>1835</v>
      </c>
      <c r="EG26" s="3165">
        <v>1906</v>
      </c>
      <c r="EH26" s="3165">
        <v>1711</v>
      </c>
      <c r="EI26" s="3165">
        <v>1952</v>
      </c>
      <c r="EJ26" s="3165">
        <v>1296</v>
      </c>
      <c r="EK26" s="3165">
        <v>4435</v>
      </c>
      <c r="EL26" s="3166"/>
      <c r="EM26" s="3166"/>
      <c r="EN26" s="3166"/>
      <c r="EO26" s="3166"/>
      <c r="EP26" s="3166"/>
      <c r="EQ26" s="3166"/>
      <c r="ER26" s="3165">
        <v>1835</v>
      </c>
      <c r="ES26" s="3165">
        <v>1906</v>
      </c>
      <c r="ET26" s="3165">
        <v>1711</v>
      </c>
      <c r="EU26" s="3165">
        <v>1952</v>
      </c>
      <c r="EV26" s="3165">
        <v>1296</v>
      </c>
      <c r="EW26" s="3165">
        <v>4435</v>
      </c>
      <c r="EX26" s="3166"/>
      <c r="EY26" s="3166"/>
      <c r="EZ26" s="3166"/>
      <c r="FA26" s="3166"/>
      <c r="FB26" s="3166"/>
      <c r="FC26" s="3166"/>
      <c r="FD26" s="2669"/>
      <c r="FE26" s="2669"/>
      <c r="FF26" s="2669"/>
      <c r="FG26" s="2669"/>
      <c r="FH26" s="2669"/>
      <c r="FI26" s="2669"/>
      <c r="FJ26" s="2669"/>
      <c r="FK26" s="2669"/>
      <c r="FL26" s="2669"/>
      <c r="FM26" s="2669"/>
      <c r="FN26" s="2669"/>
      <c r="FO26" s="2669"/>
      <c r="FP26" s="2670"/>
      <c r="FQ26" s="2669"/>
      <c r="FR26" s="2669"/>
      <c r="FS26" s="2669"/>
      <c r="FT26" s="2669"/>
      <c r="FU26" s="2669"/>
      <c r="FV26" s="2669"/>
      <c r="FW26" s="2669"/>
      <c r="FX26" s="2669"/>
      <c r="FY26" s="2669"/>
      <c r="FZ26" s="2669"/>
      <c r="GA26" s="2669"/>
      <c r="GB26" s="2595"/>
      <c r="GC26" s="2569"/>
      <c r="GD26" s="2671">
        <v>4825</v>
      </c>
      <c r="GE26" s="2672">
        <v>6626</v>
      </c>
      <c r="GF26" s="2672">
        <v>7865</v>
      </c>
      <c r="GG26" s="2673">
        <v>5660</v>
      </c>
      <c r="GH26" s="2674">
        <v>5764</v>
      </c>
      <c r="GI26" s="2675">
        <v>6230</v>
      </c>
      <c r="GJ26" s="2675">
        <v>7110</v>
      </c>
      <c r="GK26" s="2676">
        <v>4973</v>
      </c>
      <c r="GL26" s="2677">
        <v>4850</v>
      </c>
      <c r="GM26" s="2678">
        <v>7190</v>
      </c>
      <c r="GN26" s="2679">
        <v>7347</v>
      </c>
      <c r="GO26" s="2679">
        <v>5736</v>
      </c>
      <c r="GP26" s="2680">
        <v>5105</v>
      </c>
      <c r="GQ26" s="2681">
        <v>6529</v>
      </c>
      <c r="GR26" s="2681">
        <v>7768</v>
      </c>
      <c r="GS26" s="2682">
        <v>5785.7276847211961</v>
      </c>
      <c r="GT26" s="2683">
        <v>4692</v>
      </c>
      <c r="GU26" s="2684">
        <v>6531</v>
      </c>
      <c r="GV26" s="2684">
        <v>7201</v>
      </c>
      <c r="GW26" s="2685">
        <v>5722</v>
      </c>
      <c r="GX26" s="2681">
        <v>4756</v>
      </c>
      <c r="GY26" s="2681">
        <v>6454</v>
      </c>
      <c r="GZ26" s="2681">
        <v>7342</v>
      </c>
      <c r="HA26" s="2681">
        <v>6611</v>
      </c>
      <c r="HB26" s="2686">
        <v>5368</v>
      </c>
      <c r="HC26" s="2686">
        <v>7730</v>
      </c>
      <c r="HD26" s="2686">
        <v>8741</v>
      </c>
      <c r="HE26" s="2686">
        <v>8016</v>
      </c>
      <c r="HF26" s="2687">
        <v>6053</v>
      </c>
      <c r="HG26" s="2687">
        <v>7010</v>
      </c>
      <c r="HH26" s="2687">
        <v>8680</v>
      </c>
      <c r="HI26" s="2687">
        <v>8214</v>
      </c>
      <c r="HJ26" s="2688">
        <v>5870</v>
      </c>
      <c r="HK26" s="2688">
        <v>4849</v>
      </c>
      <c r="HL26" s="2688">
        <v>9096</v>
      </c>
      <c r="HM26" s="2689">
        <f t="shared" ref="HM26:HM32" si="1">+DH26+DI26+DJ26</f>
        <v>6031</v>
      </c>
      <c r="HN26" s="2689">
        <f t="shared" ref="HN26:HN32" si="2">+DM26+DL26+DK26</f>
        <v>6722</v>
      </c>
      <c r="HO26" s="2689">
        <f t="shared" ref="HO26:HO32" si="3">+DP26+DO26+DN26</f>
        <v>7805</v>
      </c>
      <c r="HP26" s="2689">
        <f t="shared" ref="HP26:HP32" si="4">+DQ26+DR26+DS26</f>
        <v>6992</v>
      </c>
      <c r="HQ26" s="2690">
        <f t="shared" ref="HQ26:HQ32" si="5">+DT26+DU26+DV26</f>
        <v>5452</v>
      </c>
      <c r="HR26" s="2690">
        <f t="shared" ref="HR26:HR32" si="6">+DW26+DX26+DY26</f>
        <v>7683</v>
      </c>
      <c r="HS26" s="2570"/>
      <c r="HT26" s="2569"/>
      <c r="HU26" s="2681"/>
      <c r="HV26" s="2686"/>
      <c r="HW26" s="2686"/>
      <c r="HX26" s="2686"/>
      <c r="HY26" s="2681"/>
      <c r="HZ26" s="2686"/>
      <c r="IA26" s="2686"/>
      <c r="IB26" s="2686"/>
      <c r="IC26" s="2686"/>
      <c r="ID26" s="2686"/>
      <c r="IE26" s="2686"/>
      <c r="IF26" s="2686"/>
      <c r="IG26" s="2686"/>
      <c r="IH26" s="2686"/>
      <c r="II26" s="2686"/>
      <c r="IJ26" s="2686"/>
      <c r="IK26" s="2691">
        <v>24976</v>
      </c>
      <c r="IL26" s="3167">
        <v>24077</v>
      </c>
      <c r="IM26" s="3167">
        <v>25123</v>
      </c>
      <c r="IN26" s="3167">
        <v>25187.727684721198</v>
      </c>
      <c r="IO26" s="3167">
        <v>24146</v>
      </c>
      <c r="IP26" s="3167">
        <v>25163</v>
      </c>
      <c r="IQ26" s="3167">
        <v>29855</v>
      </c>
      <c r="IR26" s="3167">
        <v>29888</v>
      </c>
      <c r="IS26" s="3168">
        <v>30882</v>
      </c>
      <c r="IT26" s="3168">
        <f t="shared" ref="IT26:IT34" si="7">SUM(DI26:DT26)</f>
        <v>27374</v>
      </c>
      <c r="IU26" s="3169">
        <f t="shared" ref="IU26:IU34" si="8">SUM(DO26:EE26)</f>
        <v>23743</v>
      </c>
      <c r="IV26" s="3099"/>
      <c r="IW26" s="3099"/>
      <c r="IX26" s="3099"/>
      <c r="IY26" s="3100"/>
      <c r="IZ26" s="3101"/>
      <c r="JA26" s="3578"/>
      <c r="JC26" s="3099"/>
      <c r="JD26" s="3045"/>
      <c r="JE26" s="3045"/>
      <c r="JF26" s="3045"/>
      <c r="JG26" s="3045"/>
      <c r="JH26" s="2566"/>
      <c r="JI26" s="3076"/>
      <c r="JJ26" s="2566"/>
      <c r="JK26" s="2566"/>
      <c r="JL26" s="2566"/>
      <c r="JM26" s="2566"/>
      <c r="JN26" s="2566"/>
      <c r="JO26" s="2566"/>
      <c r="JP26" s="2566"/>
      <c r="JQ26" s="2566"/>
      <c r="JS26" s="3045"/>
      <c r="JT26" s="3045"/>
      <c r="JU26" s="3045"/>
      <c r="JV26" s="3045"/>
      <c r="JW26" s="3045"/>
      <c r="JX26" s="3045"/>
      <c r="JY26" s="3045"/>
      <c r="JZ26" s="3045"/>
      <c r="KA26" s="3045"/>
      <c r="KB26" s="3045"/>
      <c r="KC26" s="3045"/>
      <c r="KD26" s="3045"/>
      <c r="KE26" s="3045"/>
      <c r="KF26" s="3045"/>
      <c r="KG26" s="3045"/>
      <c r="KH26" s="3045"/>
      <c r="KI26" s="3045"/>
      <c r="KJ26" s="3045"/>
      <c r="KK26" s="3045"/>
      <c r="KL26" s="3045"/>
      <c r="KM26" s="3045"/>
      <c r="KN26" s="3045"/>
      <c r="KO26" s="3045"/>
    </row>
    <row r="27" spans="1:301" ht="21.9" hidden="1" customHeight="1">
      <c r="A27" s="2566"/>
      <c r="B27" s="3045"/>
      <c r="C27" s="3136" t="s">
        <v>468</v>
      </c>
      <c r="D27" s="3137">
        <v>1528</v>
      </c>
      <c r="E27" s="3138">
        <v>1587</v>
      </c>
      <c r="F27" s="3138">
        <v>2902</v>
      </c>
      <c r="G27" s="3138">
        <v>1524</v>
      </c>
      <c r="H27" s="3138">
        <v>1554</v>
      </c>
      <c r="I27" s="3138">
        <v>6026</v>
      </c>
      <c r="J27" s="3138">
        <v>7783</v>
      </c>
      <c r="K27" s="3138">
        <v>4787</v>
      </c>
      <c r="L27" s="3138">
        <v>1358</v>
      </c>
      <c r="M27" s="3138">
        <v>1041</v>
      </c>
      <c r="N27" s="3138">
        <v>1259</v>
      </c>
      <c r="O27" s="3139">
        <v>3214</v>
      </c>
      <c r="P27" s="3140">
        <v>2076</v>
      </c>
      <c r="Q27" s="3141">
        <v>1868</v>
      </c>
      <c r="R27" s="3141">
        <v>3027</v>
      </c>
      <c r="S27" s="3141">
        <v>1248</v>
      </c>
      <c r="T27" s="3141">
        <v>2073</v>
      </c>
      <c r="U27" s="3141">
        <v>6828</v>
      </c>
      <c r="V27" s="3141">
        <v>7870</v>
      </c>
      <c r="W27" s="3141">
        <v>4478</v>
      </c>
      <c r="X27" s="3141">
        <v>1749</v>
      </c>
      <c r="Y27" s="3141">
        <v>1418</v>
      </c>
      <c r="Z27" s="3141">
        <v>1491</v>
      </c>
      <c r="AA27" s="3142">
        <v>3339</v>
      </c>
      <c r="AB27" s="3143">
        <v>1960</v>
      </c>
      <c r="AC27" s="3144">
        <v>1658</v>
      </c>
      <c r="AD27" s="3144">
        <v>2173</v>
      </c>
      <c r="AE27" s="3144">
        <v>2208</v>
      </c>
      <c r="AF27" s="3144">
        <v>1820</v>
      </c>
      <c r="AG27" s="3144">
        <v>6683</v>
      </c>
      <c r="AH27" s="3144">
        <v>7331</v>
      </c>
      <c r="AI27" s="3144">
        <v>4482</v>
      </c>
      <c r="AJ27" s="3144">
        <v>1557</v>
      </c>
      <c r="AK27" s="3144">
        <v>1332</v>
      </c>
      <c r="AL27" s="3144">
        <v>1514</v>
      </c>
      <c r="AM27" s="3144">
        <v>4252</v>
      </c>
      <c r="AN27" s="3145">
        <v>2030</v>
      </c>
      <c r="AO27" s="3145">
        <v>1908</v>
      </c>
      <c r="AP27" s="3145">
        <v>2629</v>
      </c>
      <c r="AQ27" s="3145">
        <v>1597</v>
      </c>
      <c r="AR27" s="3145">
        <v>2041</v>
      </c>
      <c r="AS27" s="3145">
        <v>6790</v>
      </c>
      <c r="AT27" s="3145">
        <v>7876</v>
      </c>
      <c r="AU27" s="3145">
        <v>4198</v>
      </c>
      <c r="AV27" s="3145">
        <v>1670</v>
      </c>
      <c r="AW27" s="3145">
        <v>1318</v>
      </c>
      <c r="AX27" s="3145">
        <v>1629.2918205594042</v>
      </c>
      <c r="AY27" s="3146">
        <v>3799</v>
      </c>
      <c r="AZ27" s="3147">
        <v>2783</v>
      </c>
      <c r="BA27" s="3148">
        <v>1683</v>
      </c>
      <c r="BB27" s="3148">
        <v>2879</v>
      </c>
      <c r="BC27" s="3148">
        <v>1808</v>
      </c>
      <c r="BD27" s="3148">
        <v>2004</v>
      </c>
      <c r="BE27" s="3148">
        <v>6703</v>
      </c>
      <c r="BF27" s="3148">
        <v>7356</v>
      </c>
      <c r="BG27" s="3148">
        <v>4318</v>
      </c>
      <c r="BH27" s="3148">
        <v>1435</v>
      </c>
      <c r="BI27" s="3148">
        <v>1222</v>
      </c>
      <c r="BJ27" s="3148">
        <v>1167</v>
      </c>
      <c r="BK27" s="3149">
        <v>4069</v>
      </c>
      <c r="BL27" s="3150">
        <v>2396</v>
      </c>
      <c r="BM27" s="3151">
        <v>1732</v>
      </c>
      <c r="BN27" s="3151">
        <v>2771</v>
      </c>
      <c r="BO27" s="3151">
        <v>1797</v>
      </c>
      <c r="BP27" s="3151">
        <v>1826</v>
      </c>
      <c r="BQ27" s="3151">
        <v>6893</v>
      </c>
      <c r="BR27" s="3151">
        <v>7817</v>
      </c>
      <c r="BS27" s="3151">
        <v>3914</v>
      </c>
      <c r="BT27" s="3152">
        <v>1582</v>
      </c>
      <c r="BU27" s="3152">
        <v>1272</v>
      </c>
      <c r="BV27" s="3152">
        <v>1619</v>
      </c>
      <c r="BW27" s="3223">
        <v>5012</v>
      </c>
      <c r="BX27" s="3224">
        <v>3171</v>
      </c>
      <c r="BY27" s="3155">
        <v>2104</v>
      </c>
      <c r="BZ27" s="3155">
        <v>3880</v>
      </c>
      <c r="CA27" s="3155">
        <v>2048</v>
      </c>
      <c r="CB27" s="3155">
        <v>2223</v>
      </c>
      <c r="CC27" s="3155">
        <v>7760</v>
      </c>
      <c r="CD27" s="3155">
        <v>8716</v>
      </c>
      <c r="CE27" s="3155">
        <v>4686</v>
      </c>
      <c r="CF27" s="3155">
        <v>1998</v>
      </c>
      <c r="CG27" s="3155">
        <v>1764</v>
      </c>
      <c r="CH27" s="3155">
        <v>1902</v>
      </c>
      <c r="CI27" s="3156">
        <v>5447</v>
      </c>
      <c r="CJ27" s="3157">
        <v>2725</v>
      </c>
      <c r="CK27" s="3158">
        <v>2889</v>
      </c>
      <c r="CL27" s="3158">
        <v>3500</v>
      </c>
      <c r="CM27" s="3158">
        <v>2928</v>
      </c>
      <c r="CN27" s="3158">
        <v>2487</v>
      </c>
      <c r="CO27" s="3158">
        <v>7111</v>
      </c>
      <c r="CP27" s="3158">
        <v>9382</v>
      </c>
      <c r="CQ27" s="3158">
        <v>4722</v>
      </c>
      <c r="CR27" s="3158">
        <v>1945</v>
      </c>
      <c r="CS27" s="3158">
        <v>1782</v>
      </c>
      <c r="CT27" s="3158">
        <v>1725</v>
      </c>
      <c r="CU27" s="3159">
        <v>6253</v>
      </c>
      <c r="CV27" s="3240">
        <v>3675</v>
      </c>
      <c r="CW27" s="3158">
        <v>2568</v>
      </c>
      <c r="CX27" s="3241">
        <v>4318</v>
      </c>
      <c r="CY27" s="3241">
        <v>2501</v>
      </c>
      <c r="CZ27" s="3241">
        <v>2876</v>
      </c>
      <c r="DA27" s="3241">
        <v>9163</v>
      </c>
      <c r="DB27" s="3241">
        <v>10705</v>
      </c>
      <c r="DC27" s="3241">
        <v>4874</v>
      </c>
      <c r="DD27" s="3161">
        <v>1753</v>
      </c>
      <c r="DE27" s="3161">
        <v>1648</v>
      </c>
      <c r="DF27" s="3148"/>
      <c r="DG27" s="3148"/>
      <c r="DH27" s="3242">
        <v>2965</v>
      </c>
      <c r="DI27" s="3243">
        <v>2693</v>
      </c>
      <c r="DJ27" s="3243">
        <v>4952</v>
      </c>
      <c r="DK27" s="3164">
        <v>1757</v>
      </c>
      <c r="DL27" s="3164">
        <v>2569</v>
      </c>
      <c r="DM27" s="3164">
        <v>9630</v>
      </c>
      <c r="DN27" s="3164">
        <v>10137</v>
      </c>
      <c r="DO27" s="3164">
        <v>4466</v>
      </c>
      <c r="DP27" s="3164">
        <v>1339</v>
      </c>
      <c r="DQ27" s="3164">
        <v>1645</v>
      </c>
      <c r="DR27" s="3164">
        <v>1861</v>
      </c>
      <c r="DS27" s="3163">
        <v>6354</v>
      </c>
      <c r="DT27" s="3165">
        <v>3243</v>
      </c>
      <c r="DU27" s="3165">
        <v>2627</v>
      </c>
      <c r="DV27" s="3165">
        <v>3910</v>
      </c>
      <c r="DW27" s="3165">
        <v>3634</v>
      </c>
      <c r="DX27" s="3165">
        <v>2800</v>
      </c>
      <c r="DY27" s="3165">
        <v>10439</v>
      </c>
      <c r="DZ27" s="3166"/>
      <c r="EA27" s="3166"/>
      <c r="EB27" s="3166"/>
      <c r="EC27" s="3166"/>
      <c r="ED27" s="3166"/>
      <c r="EE27" s="3166"/>
      <c r="EF27" s="3165">
        <v>3243</v>
      </c>
      <c r="EG27" s="3165">
        <v>2627</v>
      </c>
      <c r="EH27" s="3165">
        <v>3910</v>
      </c>
      <c r="EI27" s="3165">
        <v>3634</v>
      </c>
      <c r="EJ27" s="3165">
        <v>2800</v>
      </c>
      <c r="EK27" s="3165">
        <v>10439</v>
      </c>
      <c r="EL27" s="3166"/>
      <c r="EM27" s="3166"/>
      <c r="EN27" s="3166"/>
      <c r="EO27" s="3166"/>
      <c r="EP27" s="3166"/>
      <c r="EQ27" s="3166"/>
      <c r="ER27" s="3165">
        <v>3243</v>
      </c>
      <c r="ES27" s="3165">
        <v>2627</v>
      </c>
      <c r="ET27" s="3165">
        <v>3910</v>
      </c>
      <c r="EU27" s="3165">
        <v>3634</v>
      </c>
      <c r="EV27" s="3165">
        <v>2800</v>
      </c>
      <c r="EW27" s="3165">
        <v>10439</v>
      </c>
      <c r="EX27" s="3166"/>
      <c r="EY27" s="3166"/>
      <c r="EZ27" s="3166"/>
      <c r="FA27" s="3166"/>
      <c r="FB27" s="3166"/>
      <c r="FC27" s="3166"/>
      <c r="FD27" s="2669"/>
      <c r="FE27" s="2669"/>
      <c r="FF27" s="2669"/>
      <c r="FG27" s="2669"/>
      <c r="FH27" s="2669"/>
      <c r="FI27" s="2669"/>
      <c r="FJ27" s="2669"/>
      <c r="FK27" s="2669"/>
      <c r="FL27" s="2669"/>
      <c r="FM27" s="2669"/>
      <c r="FN27" s="2669"/>
      <c r="FO27" s="2669"/>
      <c r="FP27" s="2670"/>
      <c r="FQ27" s="2669"/>
      <c r="FR27" s="2669"/>
      <c r="FS27" s="2669"/>
      <c r="FT27" s="2669"/>
      <c r="FU27" s="2669"/>
      <c r="FV27" s="2669"/>
      <c r="FW27" s="2669"/>
      <c r="FX27" s="2669"/>
      <c r="FY27" s="2669"/>
      <c r="FZ27" s="2669"/>
      <c r="GA27" s="2669"/>
      <c r="GB27" s="2595"/>
      <c r="GC27" s="2569"/>
      <c r="GD27" s="2671">
        <v>6017</v>
      </c>
      <c r="GE27" s="2672">
        <v>9104</v>
      </c>
      <c r="GF27" s="2672">
        <v>13928</v>
      </c>
      <c r="GG27" s="2673">
        <v>5514</v>
      </c>
      <c r="GH27" s="2674">
        <v>6971</v>
      </c>
      <c r="GI27" s="2675">
        <v>10149</v>
      </c>
      <c r="GJ27" s="2675">
        <v>14097</v>
      </c>
      <c r="GK27" s="2676">
        <v>6248</v>
      </c>
      <c r="GL27" s="2677">
        <v>5791</v>
      </c>
      <c r="GM27" s="2678">
        <v>10711</v>
      </c>
      <c r="GN27" s="2679">
        <v>13370</v>
      </c>
      <c r="GO27" s="2679">
        <v>7098</v>
      </c>
      <c r="GP27" s="2680">
        <v>6567</v>
      </c>
      <c r="GQ27" s="2681">
        <v>10428</v>
      </c>
      <c r="GR27" s="2681">
        <v>13744</v>
      </c>
      <c r="GS27" s="2682">
        <v>6746.2918205594042</v>
      </c>
      <c r="GT27" s="2683">
        <v>7345</v>
      </c>
      <c r="GU27" s="2684">
        <v>10515</v>
      </c>
      <c r="GV27" s="2684">
        <v>13109</v>
      </c>
      <c r="GW27" s="2685">
        <v>6458</v>
      </c>
      <c r="GX27" s="2681">
        <v>6899</v>
      </c>
      <c r="GY27" s="2681">
        <v>10516</v>
      </c>
      <c r="GZ27" s="2681">
        <v>13313</v>
      </c>
      <c r="HA27" s="2681">
        <v>7903</v>
      </c>
      <c r="HB27" s="2686">
        <v>9155</v>
      </c>
      <c r="HC27" s="2686">
        <v>12031</v>
      </c>
      <c r="HD27" s="2686">
        <v>15400</v>
      </c>
      <c r="HE27" s="2686">
        <v>9113</v>
      </c>
      <c r="HF27" s="2687">
        <v>9114</v>
      </c>
      <c r="HG27" s="2687">
        <v>12526</v>
      </c>
      <c r="HH27" s="2687">
        <v>15886</v>
      </c>
      <c r="HI27" s="2687">
        <v>9760</v>
      </c>
      <c r="HJ27" s="2688">
        <v>10561</v>
      </c>
      <c r="HK27" s="2688">
        <v>7025</v>
      </c>
      <c r="HL27" s="2688">
        <v>17227</v>
      </c>
      <c r="HM27" s="2689">
        <f t="shared" si="1"/>
        <v>10610</v>
      </c>
      <c r="HN27" s="2689">
        <f t="shared" si="2"/>
        <v>13956</v>
      </c>
      <c r="HO27" s="2689">
        <f t="shared" si="3"/>
        <v>15942</v>
      </c>
      <c r="HP27" s="2689">
        <f t="shared" si="4"/>
        <v>9860</v>
      </c>
      <c r="HQ27" s="2690">
        <f t="shared" si="5"/>
        <v>9780</v>
      </c>
      <c r="HR27" s="2690">
        <f t="shared" si="6"/>
        <v>16873</v>
      </c>
      <c r="HS27" s="2570"/>
      <c r="HT27" s="2569"/>
      <c r="HU27" s="2681"/>
      <c r="HV27" s="2686"/>
      <c r="HW27" s="2686"/>
      <c r="HX27" s="2686"/>
      <c r="HY27" s="2681"/>
      <c r="HZ27" s="2686"/>
      <c r="IA27" s="2686"/>
      <c r="IB27" s="2686"/>
      <c r="IC27" s="2686"/>
      <c r="ID27" s="2686"/>
      <c r="IE27" s="2686"/>
      <c r="IF27" s="2686"/>
      <c r="IG27" s="2686"/>
      <c r="IH27" s="2686"/>
      <c r="II27" s="2686"/>
      <c r="IJ27" s="2686"/>
      <c r="IK27" s="2691">
        <v>34563</v>
      </c>
      <c r="IL27" s="3167">
        <v>37465</v>
      </c>
      <c r="IM27" s="3167">
        <v>36970</v>
      </c>
      <c r="IN27" s="3167">
        <v>37485.291820559403</v>
      </c>
      <c r="IO27" s="3167">
        <v>37427</v>
      </c>
      <c r="IP27" s="3167">
        <v>38631</v>
      </c>
      <c r="IQ27" s="3167">
        <v>45699</v>
      </c>
      <c r="IR27" s="3167">
        <v>47449</v>
      </c>
      <c r="IS27" s="3168">
        <v>52059</v>
      </c>
      <c r="IT27" s="3168">
        <f t="shared" si="7"/>
        <v>50646</v>
      </c>
      <c r="IU27" s="3169">
        <f t="shared" si="8"/>
        <v>42318</v>
      </c>
      <c r="IV27" s="3099"/>
      <c r="IW27" s="3099"/>
      <c r="IX27" s="3099"/>
      <c r="IY27" s="3100"/>
      <c r="IZ27" s="3101"/>
      <c r="JA27" s="3578"/>
      <c r="JC27" s="3099"/>
      <c r="JD27" s="3045"/>
      <c r="JE27" s="3045"/>
      <c r="JF27" s="3045"/>
      <c r="JG27" s="3045"/>
      <c r="JH27" s="2566"/>
      <c r="JI27" s="3076"/>
      <c r="JJ27" s="2566"/>
      <c r="JK27" s="2566"/>
      <c r="JL27" s="2566"/>
      <c r="JM27" s="2566"/>
      <c r="JN27" s="2566"/>
      <c r="JO27" s="2566"/>
      <c r="JP27" s="2566"/>
      <c r="JQ27" s="2566"/>
      <c r="JS27" s="3045"/>
      <c r="JT27" s="3045"/>
      <c r="JU27" s="3045"/>
      <c r="JV27" s="3045"/>
      <c r="JW27" s="3045"/>
      <c r="JX27" s="3045"/>
      <c r="JY27" s="3045"/>
      <c r="JZ27" s="3045"/>
      <c r="KA27" s="3045"/>
      <c r="KB27" s="3045"/>
      <c r="KC27" s="3045"/>
      <c r="KD27" s="3045"/>
      <c r="KE27" s="3045"/>
      <c r="KF27" s="3045"/>
      <c r="KG27" s="3045"/>
      <c r="KH27" s="3045"/>
      <c r="KI27" s="3045"/>
      <c r="KJ27" s="3045"/>
      <c r="KK27" s="3045"/>
      <c r="KL27" s="3045"/>
      <c r="KM27" s="3045"/>
      <c r="KN27" s="3045"/>
      <c r="KO27" s="3045"/>
    </row>
    <row r="28" spans="1:301" ht="21.9" hidden="1" customHeight="1">
      <c r="A28" s="2566"/>
      <c r="B28" s="3045"/>
      <c r="C28" s="3136" t="s">
        <v>469</v>
      </c>
      <c r="D28" s="3137">
        <v>5654</v>
      </c>
      <c r="E28" s="3138">
        <v>4915</v>
      </c>
      <c r="F28" s="3138">
        <v>5564</v>
      </c>
      <c r="G28" s="3138">
        <v>4398</v>
      </c>
      <c r="H28" s="3138">
        <v>5572</v>
      </c>
      <c r="I28" s="3138">
        <v>7426</v>
      </c>
      <c r="J28" s="3138">
        <v>8960</v>
      </c>
      <c r="K28" s="3138">
        <v>8205</v>
      </c>
      <c r="L28" s="3138">
        <v>6306</v>
      </c>
      <c r="M28" s="3138">
        <v>5800</v>
      </c>
      <c r="N28" s="3138">
        <v>6066</v>
      </c>
      <c r="O28" s="3139">
        <v>7005</v>
      </c>
      <c r="P28" s="3140">
        <v>6860</v>
      </c>
      <c r="Q28" s="3141">
        <v>7455</v>
      </c>
      <c r="R28" s="3141">
        <v>6647</v>
      </c>
      <c r="S28" s="3141">
        <v>4627</v>
      </c>
      <c r="T28" s="3141">
        <v>6683</v>
      </c>
      <c r="U28" s="3141">
        <v>7645</v>
      </c>
      <c r="V28" s="3141">
        <v>9085</v>
      </c>
      <c r="W28" s="3141">
        <v>8152</v>
      </c>
      <c r="X28" s="3141">
        <v>6570</v>
      </c>
      <c r="Y28" s="3141">
        <v>6055</v>
      </c>
      <c r="Z28" s="3141">
        <v>6175</v>
      </c>
      <c r="AA28" s="3142">
        <v>7240</v>
      </c>
      <c r="AB28" s="3143">
        <v>7190</v>
      </c>
      <c r="AC28" s="3144">
        <v>5707</v>
      </c>
      <c r="AD28" s="3144">
        <v>5975</v>
      </c>
      <c r="AE28" s="3144">
        <v>5323</v>
      </c>
      <c r="AF28" s="3144">
        <v>6730</v>
      </c>
      <c r="AG28" s="3144">
        <v>8220</v>
      </c>
      <c r="AH28" s="3144">
        <v>8798</v>
      </c>
      <c r="AI28" s="3144">
        <v>8882</v>
      </c>
      <c r="AJ28" s="3144">
        <v>6612</v>
      </c>
      <c r="AK28" s="3144">
        <v>6320</v>
      </c>
      <c r="AL28" s="3144">
        <v>6462</v>
      </c>
      <c r="AM28" s="3144">
        <v>9032</v>
      </c>
      <c r="AN28" s="3145">
        <v>8275</v>
      </c>
      <c r="AO28" s="3145">
        <v>7345</v>
      </c>
      <c r="AP28" s="3145">
        <v>6679</v>
      </c>
      <c r="AQ28" s="3145">
        <v>5123</v>
      </c>
      <c r="AR28" s="3145">
        <v>7247</v>
      </c>
      <c r="AS28" s="3145">
        <v>7774</v>
      </c>
      <c r="AT28" s="3145">
        <v>8783</v>
      </c>
      <c r="AU28" s="3145">
        <v>8297</v>
      </c>
      <c r="AV28" s="3145">
        <v>6097</v>
      </c>
      <c r="AW28" s="3145">
        <v>6370</v>
      </c>
      <c r="AX28" s="3145">
        <v>6207.0074267803311</v>
      </c>
      <c r="AY28" s="3146">
        <v>8153</v>
      </c>
      <c r="AZ28" s="3147">
        <v>7587</v>
      </c>
      <c r="BA28" s="3148">
        <v>6001</v>
      </c>
      <c r="BB28" s="3148">
        <v>6682</v>
      </c>
      <c r="BC28" s="3148">
        <v>5914</v>
      </c>
      <c r="BD28" s="3148">
        <v>7061</v>
      </c>
      <c r="BE28" s="3148">
        <v>7779</v>
      </c>
      <c r="BF28" s="3148">
        <v>8534</v>
      </c>
      <c r="BG28" s="3148">
        <v>7995</v>
      </c>
      <c r="BH28" s="3148">
        <v>5723</v>
      </c>
      <c r="BI28" s="3148">
        <v>6085</v>
      </c>
      <c r="BJ28" s="3148">
        <v>6121</v>
      </c>
      <c r="BK28" s="3149">
        <v>8675</v>
      </c>
      <c r="BL28" s="3150">
        <v>7297</v>
      </c>
      <c r="BM28" s="3151">
        <v>6451</v>
      </c>
      <c r="BN28" s="3151">
        <v>6874</v>
      </c>
      <c r="BO28" s="3151">
        <v>5785</v>
      </c>
      <c r="BP28" s="3151">
        <v>7291</v>
      </c>
      <c r="BQ28" s="3151">
        <v>8639</v>
      </c>
      <c r="BR28" s="3151">
        <v>9166</v>
      </c>
      <c r="BS28" s="3151">
        <v>7989</v>
      </c>
      <c r="BT28" s="3152">
        <v>6493</v>
      </c>
      <c r="BU28" s="3152">
        <v>6686</v>
      </c>
      <c r="BV28" s="3152">
        <v>6933</v>
      </c>
      <c r="BW28" s="3223">
        <v>10765</v>
      </c>
      <c r="BX28" s="3224">
        <v>9236</v>
      </c>
      <c r="BY28" s="3155">
        <v>7932</v>
      </c>
      <c r="BZ28" s="3155">
        <v>8951</v>
      </c>
      <c r="CA28" s="3155">
        <v>6594</v>
      </c>
      <c r="CB28" s="3155">
        <v>9272</v>
      </c>
      <c r="CC28" s="3155">
        <v>10749</v>
      </c>
      <c r="CD28" s="3155">
        <v>11103</v>
      </c>
      <c r="CE28" s="3155">
        <v>10155</v>
      </c>
      <c r="CF28" s="3155">
        <v>9057</v>
      </c>
      <c r="CG28" s="3155">
        <v>9085</v>
      </c>
      <c r="CH28" s="3155">
        <v>10100</v>
      </c>
      <c r="CI28" s="3156">
        <v>14105</v>
      </c>
      <c r="CJ28" s="3157">
        <v>10955</v>
      </c>
      <c r="CK28" s="3158">
        <v>9918</v>
      </c>
      <c r="CL28" s="3158">
        <v>9739</v>
      </c>
      <c r="CM28" s="3158">
        <v>8807</v>
      </c>
      <c r="CN28" s="3158">
        <v>10458</v>
      </c>
      <c r="CO28" s="3158">
        <v>12114</v>
      </c>
      <c r="CP28" s="3158">
        <v>12476</v>
      </c>
      <c r="CQ28" s="3158">
        <v>11563</v>
      </c>
      <c r="CR28" s="3158">
        <v>11510</v>
      </c>
      <c r="CS28" s="3158">
        <v>11150</v>
      </c>
      <c r="CT28" s="3158">
        <v>11317</v>
      </c>
      <c r="CU28" s="3159">
        <v>17206</v>
      </c>
      <c r="CV28" s="3240">
        <v>12571</v>
      </c>
      <c r="CW28" s="3158">
        <v>10448</v>
      </c>
      <c r="CX28" s="3241">
        <v>11701</v>
      </c>
      <c r="CY28" s="3241">
        <v>10719</v>
      </c>
      <c r="CZ28" s="3241">
        <v>12067</v>
      </c>
      <c r="DA28" s="3241">
        <v>11756</v>
      </c>
      <c r="DB28" s="3241">
        <v>12625</v>
      </c>
      <c r="DC28" s="3241">
        <v>10222</v>
      </c>
      <c r="DD28" s="3161">
        <v>10257</v>
      </c>
      <c r="DE28" s="3161">
        <v>10199</v>
      </c>
      <c r="DF28" s="3148"/>
      <c r="DG28" s="3148"/>
      <c r="DH28" s="3242">
        <v>10815</v>
      </c>
      <c r="DI28" s="3243">
        <v>9301</v>
      </c>
      <c r="DJ28" s="3243">
        <v>10107</v>
      </c>
      <c r="DK28" s="3164">
        <v>6887</v>
      </c>
      <c r="DL28" s="3164">
        <v>9356</v>
      </c>
      <c r="DM28" s="3164">
        <v>10160</v>
      </c>
      <c r="DN28" s="3164">
        <v>11496</v>
      </c>
      <c r="DO28" s="3164">
        <v>9164</v>
      </c>
      <c r="DP28" s="3164">
        <v>7295</v>
      </c>
      <c r="DQ28" s="3164">
        <v>9034</v>
      </c>
      <c r="DR28" s="3164">
        <v>7601</v>
      </c>
      <c r="DS28" s="3163">
        <v>12898</v>
      </c>
      <c r="DT28" s="3165">
        <v>10141</v>
      </c>
      <c r="DU28" s="3165">
        <v>8750</v>
      </c>
      <c r="DV28" s="3165">
        <v>9930</v>
      </c>
      <c r="DW28" s="3165">
        <v>8737</v>
      </c>
      <c r="DX28" s="3165">
        <v>9281</v>
      </c>
      <c r="DY28" s="3165">
        <v>10625</v>
      </c>
      <c r="DZ28" s="3166"/>
      <c r="EA28" s="3166"/>
      <c r="EB28" s="3166"/>
      <c r="EC28" s="3166"/>
      <c r="ED28" s="3166"/>
      <c r="EE28" s="3166"/>
      <c r="EF28" s="3165">
        <v>10141</v>
      </c>
      <c r="EG28" s="3165">
        <v>8750</v>
      </c>
      <c r="EH28" s="3165">
        <v>9930</v>
      </c>
      <c r="EI28" s="3165">
        <v>8737</v>
      </c>
      <c r="EJ28" s="3165">
        <v>9281</v>
      </c>
      <c r="EK28" s="3165">
        <v>10625</v>
      </c>
      <c r="EL28" s="3166"/>
      <c r="EM28" s="3166"/>
      <c r="EN28" s="3166"/>
      <c r="EO28" s="3166"/>
      <c r="EP28" s="3166"/>
      <c r="EQ28" s="3166"/>
      <c r="ER28" s="3165">
        <v>10141</v>
      </c>
      <c r="ES28" s="3165">
        <v>8750</v>
      </c>
      <c r="ET28" s="3165">
        <v>9930</v>
      </c>
      <c r="EU28" s="3165">
        <v>8737</v>
      </c>
      <c r="EV28" s="3165">
        <v>9281</v>
      </c>
      <c r="EW28" s="3165">
        <v>10625</v>
      </c>
      <c r="EX28" s="3166"/>
      <c r="EY28" s="3166"/>
      <c r="EZ28" s="3166"/>
      <c r="FA28" s="3166"/>
      <c r="FB28" s="3166"/>
      <c r="FC28" s="3166"/>
      <c r="FD28" s="2669"/>
      <c r="FE28" s="2669"/>
      <c r="FF28" s="2669"/>
      <c r="FG28" s="2669"/>
      <c r="FH28" s="2669"/>
      <c r="FI28" s="2669"/>
      <c r="FJ28" s="2669"/>
      <c r="FK28" s="2669"/>
      <c r="FL28" s="2669"/>
      <c r="FM28" s="2669"/>
      <c r="FN28" s="2669"/>
      <c r="FO28" s="2669"/>
      <c r="FP28" s="2670"/>
      <c r="FQ28" s="2669"/>
      <c r="FR28" s="2669"/>
      <c r="FS28" s="2669"/>
      <c r="FT28" s="2669"/>
      <c r="FU28" s="2669"/>
      <c r="FV28" s="2669"/>
      <c r="FW28" s="2669"/>
      <c r="FX28" s="2669"/>
      <c r="FY28" s="2669"/>
      <c r="FZ28" s="2669"/>
      <c r="GA28" s="2669"/>
      <c r="GB28" s="2595"/>
      <c r="GC28" s="2569"/>
      <c r="GD28" s="2671">
        <v>16133</v>
      </c>
      <c r="GE28" s="2672">
        <v>17396</v>
      </c>
      <c r="GF28" s="2672">
        <v>23471</v>
      </c>
      <c r="GG28" s="2673">
        <v>18871</v>
      </c>
      <c r="GH28" s="2674">
        <v>20962</v>
      </c>
      <c r="GI28" s="2675">
        <v>18955</v>
      </c>
      <c r="GJ28" s="2675">
        <v>23807</v>
      </c>
      <c r="GK28" s="2676">
        <v>19470</v>
      </c>
      <c r="GL28" s="2677">
        <v>18872</v>
      </c>
      <c r="GM28" s="2678">
        <v>20273</v>
      </c>
      <c r="GN28" s="2679">
        <v>24292</v>
      </c>
      <c r="GO28" s="2679">
        <v>21814</v>
      </c>
      <c r="GP28" s="2680">
        <v>22299</v>
      </c>
      <c r="GQ28" s="2681">
        <v>20144</v>
      </c>
      <c r="GR28" s="2681">
        <v>23177</v>
      </c>
      <c r="GS28" s="2682">
        <v>20730.007426780332</v>
      </c>
      <c r="GT28" s="2683">
        <v>20270</v>
      </c>
      <c r="GU28" s="2684">
        <v>20754</v>
      </c>
      <c r="GV28" s="2684">
        <v>22252</v>
      </c>
      <c r="GW28" s="2685">
        <v>20881</v>
      </c>
      <c r="GX28" s="2681">
        <v>20622</v>
      </c>
      <c r="GY28" s="2681">
        <v>21715</v>
      </c>
      <c r="GZ28" s="2681">
        <v>23648</v>
      </c>
      <c r="HA28" s="2681">
        <v>24384</v>
      </c>
      <c r="HB28" s="2686">
        <v>26119</v>
      </c>
      <c r="HC28" s="2686">
        <v>26615</v>
      </c>
      <c r="HD28" s="2686">
        <v>30315</v>
      </c>
      <c r="HE28" s="2686">
        <v>33290</v>
      </c>
      <c r="HF28" s="2687">
        <v>30612</v>
      </c>
      <c r="HG28" s="2687">
        <v>31379</v>
      </c>
      <c r="HH28" s="2687">
        <v>35189</v>
      </c>
      <c r="HI28" s="2687">
        <v>39673</v>
      </c>
      <c r="HJ28" s="2688">
        <v>34720</v>
      </c>
      <c r="HK28" s="2688">
        <v>32985</v>
      </c>
      <c r="HL28" s="2688">
        <v>33046</v>
      </c>
      <c r="HM28" s="2689">
        <f t="shared" si="1"/>
        <v>30223</v>
      </c>
      <c r="HN28" s="2689">
        <f t="shared" si="2"/>
        <v>26403</v>
      </c>
      <c r="HO28" s="2689">
        <f t="shared" si="3"/>
        <v>27955</v>
      </c>
      <c r="HP28" s="2689">
        <f t="shared" si="4"/>
        <v>29533</v>
      </c>
      <c r="HQ28" s="2690">
        <f t="shared" si="5"/>
        <v>28821</v>
      </c>
      <c r="HR28" s="2690">
        <f t="shared" si="6"/>
        <v>28643</v>
      </c>
      <c r="HS28" s="2570"/>
      <c r="HT28" s="2569"/>
      <c r="HU28" s="2681"/>
      <c r="HV28" s="2686"/>
      <c r="HW28" s="2686"/>
      <c r="HX28" s="2686"/>
      <c r="HY28" s="2681"/>
      <c r="HZ28" s="2686"/>
      <c r="IA28" s="2686"/>
      <c r="IB28" s="2686"/>
      <c r="IC28" s="2686"/>
      <c r="ID28" s="2686"/>
      <c r="IE28" s="2686"/>
      <c r="IF28" s="2686"/>
      <c r="IG28" s="2686"/>
      <c r="IH28" s="2686"/>
      <c r="II28" s="2686"/>
      <c r="IJ28" s="2686"/>
      <c r="IK28" s="2691">
        <v>75871</v>
      </c>
      <c r="IL28" s="3167">
        <v>83194</v>
      </c>
      <c r="IM28" s="3167">
        <v>85251</v>
      </c>
      <c r="IN28" s="3167">
        <v>86350.007426780328</v>
      </c>
      <c r="IO28" s="3167">
        <v>84157</v>
      </c>
      <c r="IP28" s="3167">
        <v>90369</v>
      </c>
      <c r="IQ28" s="3167">
        <v>116339</v>
      </c>
      <c r="IR28" s="3167">
        <v>137213</v>
      </c>
      <c r="IS28" s="3168">
        <v>141088</v>
      </c>
      <c r="IT28" s="3168">
        <f t="shared" si="7"/>
        <v>113440</v>
      </c>
      <c r="IU28" s="3169">
        <f t="shared" si="8"/>
        <v>103456</v>
      </c>
      <c r="IV28" s="3099"/>
      <c r="IW28" s="3099"/>
      <c r="IX28" s="3099"/>
      <c r="IY28" s="3100"/>
      <c r="IZ28" s="3101"/>
      <c r="JA28" s="3578"/>
      <c r="JC28" s="3099"/>
      <c r="JD28" s="3045"/>
      <c r="JE28" s="3045"/>
      <c r="JF28" s="3045"/>
      <c r="JG28" s="3045"/>
      <c r="JH28" s="2566"/>
      <c r="JI28" s="3076"/>
      <c r="JJ28" s="2566"/>
      <c r="JK28" s="2566"/>
      <c r="JL28" s="2566"/>
      <c r="JM28" s="2566"/>
      <c r="JN28" s="2566"/>
      <c r="JO28" s="2566"/>
      <c r="JP28" s="2566"/>
      <c r="JQ28" s="2566"/>
      <c r="JS28" s="3045"/>
      <c r="JT28" s="3045"/>
      <c r="JU28" s="3045"/>
      <c r="JV28" s="3045"/>
      <c r="JW28" s="3045"/>
      <c r="JX28" s="3045"/>
      <c r="JY28" s="3045"/>
      <c r="JZ28" s="3045"/>
      <c r="KA28" s="3045"/>
      <c r="KB28" s="3045"/>
      <c r="KC28" s="3045"/>
      <c r="KD28" s="3045"/>
      <c r="KE28" s="3045"/>
      <c r="KF28" s="3045"/>
      <c r="KG28" s="3045"/>
      <c r="KH28" s="3045"/>
      <c r="KI28" s="3045"/>
      <c r="KJ28" s="3045"/>
      <c r="KK28" s="3045"/>
      <c r="KL28" s="3045"/>
      <c r="KM28" s="3045"/>
      <c r="KN28" s="3045"/>
      <c r="KO28" s="3045"/>
    </row>
    <row r="29" spans="1:301" ht="21.9" hidden="1" customHeight="1">
      <c r="A29" s="2566"/>
      <c r="B29" s="3045"/>
      <c r="C29" s="3136" t="s">
        <v>470</v>
      </c>
      <c r="D29" s="3137">
        <v>6029</v>
      </c>
      <c r="E29" s="3138">
        <v>6320</v>
      </c>
      <c r="F29" s="3138">
        <v>6593</v>
      </c>
      <c r="G29" s="3138">
        <v>5871</v>
      </c>
      <c r="H29" s="3138">
        <v>6139</v>
      </c>
      <c r="I29" s="3138">
        <v>7734</v>
      </c>
      <c r="J29" s="3138">
        <v>9192</v>
      </c>
      <c r="K29" s="3138">
        <v>8563</v>
      </c>
      <c r="L29" s="3138">
        <v>7342</v>
      </c>
      <c r="M29" s="3138">
        <v>7169</v>
      </c>
      <c r="N29" s="3138">
        <v>7853</v>
      </c>
      <c r="O29" s="3139">
        <v>7789</v>
      </c>
      <c r="P29" s="3140">
        <v>7018</v>
      </c>
      <c r="Q29" s="3141">
        <v>9593</v>
      </c>
      <c r="R29" s="3141">
        <v>7207</v>
      </c>
      <c r="S29" s="3141">
        <v>6892</v>
      </c>
      <c r="T29" s="3141">
        <v>7411</v>
      </c>
      <c r="U29" s="3141">
        <v>8422</v>
      </c>
      <c r="V29" s="3141">
        <v>9242</v>
      </c>
      <c r="W29" s="3141">
        <v>8961</v>
      </c>
      <c r="X29" s="3141">
        <v>7931</v>
      </c>
      <c r="Y29" s="3141">
        <v>7962</v>
      </c>
      <c r="Z29" s="3141">
        <v>8363</v>
      </c>
      <c r="AA29" s="3142">
        <v>7479</v>
      </c>
      <c r="AB29" s="3143">
        <v>7202</v>
      </c>
      <c r="AC29" s="3144">
        <v>6736</v>
      </c>
      <c r="AD29" s="3144">
        <v>7102</v>
      </c>
      <c r="AE29" s="3144">
        <v>6826</v>
      </c>
      <c r="AF29" s="3144">
        <v>6795</v>
      </c>
      <c r="AG29" s="3144">
        <v>8823</v>
      </c>
      <c r="AH29" s="3144">
        <v>9350</v>
      </c>
      <c r="AI29" s="3144">
        <v>9411</v>
      </c>
      <c r="AJ29" s="3144">
        <v>7891</v>
      </c>
      <c r="AK29" s="3144">
        <v>8066</v>
      </c>
      <c r="AL29" s="3144">
        <v>8819</v>
      </c>
      <c r="AM29" s="3144">
        <v>9234</v>
      </c>
      <c r="AN29" s="3145">
        <v>8430</v>
      </c>
      <c r="AO29" s="3145">
        <v>9311</v>
      </c>
      <c r="AP29" s="3145">
        <v>7938</v>
      </c>
      <c r="AQ29" s="3145">
        <v>7173</v>
      </c>
      <c r="AR29" s="3145">
        <v>8141</v>
      </c>
      <c r="AS29" s="3145">
        <v>8925</v>
      </c>
      <c r="AT29" s="3145">
        <v>8979</v>
      </c>
      <c r="AU29" s="3145">
        <v>9172</v>
      </c>
      <c r="AV29" s="3145">
        <v>7740</v>
      </c>
      <c r="AW29" s="3145">
        <v>8594</v>
      </c>
      <c r="AX29" s="3145">
        <v>9203.4412146379436</v>
      </c>
      <c r="AY29" s="3146">
        <v>8791</v>
      </c>
      <c r="AZ29" s="3147">
        <v>7776</v>
      </c>
      <c r="BA29" s="3148">
        <v>7689</v>
      </c>
      <c r="BB29" s="3148">
        <v>8392</v>
      </c>
      <c r="BC29" s="3148">
        <v>7914</v>
      </c>
      <c r="BD29" s="3148">
        <v>8151</v>
      </c>
      <c r="BE29" s="3148">
        <v>9227</v>
      </c>
      <c r="BF29" s="3148">
        <v>9490</v>
      </c>
      <c r="BG29" s="3148">
        <v>8927</v>
      </c>
      <c r="BH29" s="3148">
        <v>7828</v>
      </c>
      <c r="BI29" s="3148">
        <v>8219</v>
      </c>
      <c r="BJ29" s="3148">
        <v>9261</v>
      </c>
      <c r="BK29" s="3149">
        <v>9202</v>
      </c>
      <c r="BL29" s="3150">
        <v>8311</v>
      </c>
      <c r="BM29" s="3151">
        <v>8506</v>
      </c>
      <c r="BN29" s="3151">
        <v>8329</v>
      </c>
      <c r="BO29" s="3151">
        <v>7889</v>
      </c>
      <c r="BP29" s="3151">
        <v>8667</v>
      </c>
      <c r="BQ29" s="3151">
        <v>10458</v>
      </c>
      <c r="BR29" s="3151">
        <v>10279</v>
      </c>
      <c r="BS29" s="3151">
        <v>9684</v>
      </c>
      <c r="BT29" s="3152">
        <v>8785</v>
      </c>
      <c r="BU29" s="3152">
        <v>9761</v>
      </c>
      <c r="BV29" s="3152">
        <v>10441</v>
      </c>
      <c r="BW29" s="3223">
        <v>11406</v>
      </c>
      <c r="BX29" s="3224">
        <v>9284</v>
      </c>
      <c r="BY29" s="3155">
        <v>9338</v>
      </c>
      <c r="BZ29" s="3155">
        <v>10071</v>
      </c>
      <c r="CA29" s="3155">
        <v>8993</v>
      </c>
      <c r="CB29" s="3155">
        <v>10849</v>
      </c>
      <c r="CC29" s="3155">
        <v>12259</v>
      </c>
      <c r="CD29" s="3155">
        <v>12314</v>
      </c>
      <c r="CE29" s="3155">
        <v>11375</v>
      </c>
      <c r="CF29" s="3155">
        <v>11613</v>
      </c>
      <c r="CG29" s="3155">
        <v>12389</v>
      </c>
      <c r="CH29" s="3155">
        <v>13139</v>
      </c>
      <c r="CI29" s="3156">
        <v>14462</v>
      </c>
      <c r="CJ29" s="3157">
        <v>10930</v>
      </c>
      <c r="CK29" s="3158">
        <v>11995</v>
      </c>
      <c r="CL29" s="3158">
        <v>11100</v>
      </c>
      <c r="CM29" s="3158">
        <v>10862</v>
      </c>
      <c r="CN29" s="3158">
        <v>11733</v>
      </c>
      <c r="CO29" s="3158">
        <v>12003</v>
      </c>
      <c r="CP29" s="3158">
        <v>13926</v>
      </c>
      <c r="CQ29" s="3158">
        <v>12817</v>
      </c>
      <c r="CR29" s="3158">
        <v>13513</v>
      </c>
      <c r="CS29" s="3158">
        <v>13905</v>
      </c>
      <c r="CT29" s="3158">
        <v>15077</v>
      </c>
      <c r="CU29" s="3159">
        <v>17653</v>
      </c>
      <c r="CV29" s="3240">
        <v>12315</v>
      </c>
      <c r="CW29" s="3158">
        <v>11584</v>
      </c>
      <c r="CX29" s="3241">
        <v>12730</v>
      </c>
      <c r="CY29" s="3241">
        <v>12697</v>
      </c>
      <c r="CZ29" s="3241">
        <v>12265</v>
      </c>
      <c r="DA29" s="3241">
        <v>13305</v>
      </c>
      <c r="DB29" s="3241">
        <v>13465</v>
      </c>
      <c r="DC29" s="3241">
        <v>10972</v>
      </c>
      <c r="DD29" s="3161">
        <v>11895</v>
      </c>
      <c r="DE29" s="3161">
        <v>12606</v>
      </c>
      <c r="DF29" s="3148"/>
      <c r="DG29" s="3148"/>
      <c r="DH29" s="3242">
        <v>10727</v>
      </c>
      <c r="DI29" s="3243">
        <v>10917</v>
      </c>
      <c r="DJ29" s="3243">
        <v>10677</v>
      </c>
      <c r="DK29" s="3164">
        <v>8509</v>
      </c>
      <c r="DL29" s="3164">
        <v>9397</v>
      </c>
      <c r="DM29" s="3164">
        <v>10768</v>
      </c>
      <c r="DN29" s="3164">
        <v>11406</v>
      </c>
      <c r="DO29" s="3164">
        <v>9483</v>
      </c>
      <c r="DP29" s="3164">
        <v>8828</v>
      </c>
      <c r="DQ29" s="3164">
        <v>11717</v>
      </c>
      <c r="DR29" s="3164">
        <v>10093</v>
      </c>
      <c r="DS29" s="3163">
        <v>12601</v>
      </c>
      <c r="DT29" s="3165">
        <v>9755</v>
      </c>
      <c r="DU29" s="3165">
        <v>9550</v>
      </c>
      <c r="DV29" s="3165">
        <v>10196</v>
      </c>
      <c r="DW29" s="3165">
        <v>10015</v>
      </c>
      <c r="DX29" s="3165">
        <v>9097</v>
      </c>
      <c r="DY29" s="3165">
        <v>11146</v>
      </c>
      <c r="DZ29" s="3166"/>
      <c r="EA29" s="3166"/>
      <c r="EB29" s="3166"/>
      <c r="EC29" s="3166"/>
      <c r="ED29" s="3166"/>
      <c r="EE29" s="3166"/>
      <c r="EF29" s="3165">
        <v>9755</v>
      </c>
      <c r="EG29" s="3165">
        <v>9550</v>
      </c>
      <c r="EH29" s="3165">
        <v>10196</v>
      </c>
      <c r="EI29" s="3165">
        <v>10015</v>
      </c>
      <c r="EJ29" s="3165">
        <v>9097</v>
      </c>
      <c r="EK29" s="3165">
        <v>11146</v>
      </c>
      <c r="EL29" s="3166"/>
      <c r="EM29" s="3166"/>
      <c r="EN29" s="3166"/>
      <c r="EO29" s="3166"/>
      <c r="EP29" s="3166"/>
      <c r="EQ29" s="3166"/>
      <c r="ER29" s="3165">
        <v>9755</v>
      </c>
      <c r="ES29" s="3165">
        <v>9550</v>
      </c>
      <c r="ET29" s="3165">
        <v>10196</v>
      </c>
      <c r="EU29" s="3165">
        <v>10015</v>
      </c>
      <c r="EV29" s="3165">
        <v>9097</v>
      </c>
      <c r="EW29" s="3165">
        <v>11146</v>
      </c>
      <c r="EX29" s="3166"/>
      <c r="EY29" s="3166"/>
      <c r="EZ29" s="3166"/>
      <c r="FA29" s="3166"/>
      <c r="FB29" s="3166"/>
      <c r="FC29" s="3166"/>
      <c r="FD29" s="2669"/>
      <c r="FE29" s="2669"/>
      <c r="FF29" s="2669"/>
      <c r="FG29" s="2669"/>
      <c r="FH29" s="2669"/>
      <c r="FI29" s="2669"/>
      <c r="FJ29" s="2669"/>
      <c r="FK29" s="2669"/>
      <c r="FL29" s="2669"/>
      <c r="FM29" s="2669"/>
      <c r="FN29" s="2669"/>
      <c r="FO29" s="2669"/>
      <c r="FP29" s="2670"/>
      <c r="FQ29" s="2669"/>
      <c r="FR29" s="2669"/>
      <c r="FS29" s="2669"/>
      <c r="FT29" s="2669"/>
      <c r="FU29" s="2669"/>
      <c r="FV29" s="2669"/>
      <c r="FW29" s="2669"/>
      <c r="FX29" s="2669"/>
      <c r="FY29" s="2669"/>
      <c r="FZ29" s="2669"/>
      <c r="GA29" s="2669"/>
      <c r="GB29" s="2595"/>
      <c r="GC29" s="2569"/>
      <c r="GD29" s="2671">
        <v>18942</v>
      </c>
      <c r="GE29" s="2672">
        <v>19744</v>
      </c>
      <c r="GF29" s="2672">
        <v>25097</v>
      </c>
      <c r="GG29" s="2673">
        <v>22811</v>
      </c>
      <c r="GH29" s="2674">
        <v>23818</v>
      </c>
      <c r="GI29" s="2675">
        <v>22725</v>
      </c>
      <c r="GJ29" s="2675">
        <v>26134</v>
      </c>
      <c r="GK29" s="2676">
        <v>23804</v>
      </c>
      <c r="GL29" s="2677">
        <v>21040</v>
      </c>
      <c r="GM29" s="2678">
        <v>22444</v>
      </c>
      <c r="GN29" s="2679">
        <v>26652</v>
      </c>
      <c r="GO29" s="2679">
        <v>26119</v>
      </c>
      <c r="GP29" s="2680">
        <v>25679</v>
      </c>
      <c r="GQ29" s="2681">
        <v>24239</v>
      </c>
      <c r="GR29" s="2681">
        <v>25891</v>
      </c>
      <c r="GS29" s="2682">
        <v>26588.441214637944</v>
      </c>
      <c r="GT29" s="2683">
        <v>23857</v>
      </c>
      <c r="GU29" s="2684">
        <v>25292</v>
      </c>
      <c r="GV29" s="2684">
        <v>26245</v>
      </c>
      <c r="GW29" s="2685">
        <v>26682</v>
      </c>
      <c r="GX29" s="2681">
        <v>25146</v>
      </c>
      <c r="GY29" s="2681">
        <v>27014</v>
      </c>
      <c r="GZ29" s="2681">
        <v>28748</v>
      </c>
      <c r="HA29" s="2681">
        <v>31608</v>
      </c>
      <c r="HB29" s="2686">
        <v>28693</v>
      </c>
      <c r="HC29" s="2686">
        <v>32101</v>
      </c>
      <c r="HD29" s="2686">
        <v>35302</v>
      </c>
      <c r="HE29" s="2686">
        <v>39990</v>
      </c>
      <c r="HF29" s="2687">
        <v>34025</v>
      </c>
      <c r="HG29" s="2687">
        <v>34598</v>
      </c>
      <c r="HH29" s="2687">
        <v>40648</v>
      </c>
      <c r="HI29" s="2687">
        <v>46635</v>
      </c>
      <c r="HJ29" s="2688">
        <v>36629</v>
      </c>
      <c r="HK29" s="2688">
        <v>37568</v>
      </c>
      <c r="HL29" s="2688">
        <v>37043</v>
      </c>
      <c r="HM29" s="2689">
        <f t="shared" si="1"/>
        <v>32321</v>
      </c>
      <c r="HN29" s="2689">
        <f t="shared" si="2"/>
        <v>28674</v>
      </c>
      <c r="HO29" s="2689">
        <f t="shared" si="3"/>
        <v>29717</v>
      </c>
      <c r="HP29" s="2689">
        <f t="shared" si="4"/>
        <v>34411</v>
      </c>
      <c r="HQ29" s="2690">
        <f t="shared" si="5"/>
        <v>29501</v>
      </c>
      <c r="HR29" s="2690">
        <f t="shared" si="6"/>
        <v>30258</v>
      </c>
      <c r="HS29" s="2570"/>
      <c r="HT29" s="2569"/>
      <c r="HU29" s="2681"/>
      <c r="HV29" s="2686"/>
      <c r="HW29" s="2686"/>
      <c r="HX29" s="2686"/>
      <c r="HY29" s="2681"/>
      <c r="HZ29" s="2686"/>
      <c r="IA29" s="2686"/>
      <c r="IB29" s="2686"/>
      <c r="IC29" s="2686"/>
      <c r="ID29" s="2686"/>
      <c r="IE29" s="2686"/>
      <c r="IF29" s="2686"/>
      <c r="IG29" s="2686"/>
      <c r="IH29" s="2686"/>
      <c r="II29" s="2686"/>
      <c r="IJ29" s="2686"/>
      <c r="IK29" s="2691">
        <v>86594</v>
      </c>
      <c r="IL29" s="3167">
        <v>96481</v>
      </c>
      <c r="IM29" s="3167">
        <v>96255</v>
      </c>
      <c r="IN29" s="3167">
        <v>102397.44121463795</v>
      </c>
      <c r="IO29" s="3167">
        <v>102076</v>
      </c>
      <c r="IP29" s="3167">
        <v>112516</v>
      </c>
      <c r="IQ29" s="3167">
        <v>136086</v>
      </c>
      <c r="IR29" s="3167">
        <v>155514</v>
      </c>
      <c r="IS29" s="3168">
        <v>156564</v>
      </c>
      <c r="IT29" s="3168">
        <f t="shared" si="7"/>
        <v>124151</v>
      </c>
      <c r="IU29" s="3169">
        <f t="shared" si="8"/>
        <v>112481</v>
      </c>
      <c r="IV29" s="3099"/>
      <c r="IW29" s="3099"/>
      <c r="IX29" s="3099"/>
      <c r="IY29" s="3100"/>
      <c r="IZ29" s="3101"/>
      <c r="JA29" s="3578"/>
      <c r="JC29" s="3099"/>
      <c r="JD29" s="3045"/>
      <c r="JE29" s="3045"/>
      <c r="JF29" s="3045"/>
      <c r="JG29" s="3045"/>
      <c r="JH29" s="2566"/>
      <c r="JI29" s="3076"/>
      <c r="JJ29" s="2566"/>
      <c r="JK29" s="2566"/>
      <c r="JL29" s="2566"/>
      <c r="JM29" s="2566"/>
      <c r="JN29" s="2566"/>
      <c r="JO29" s="2566"/>
      <c r="JP29" s="2566"/>
      <c r="JQ29" s="2566"/>
      <c r="JS29" s="3045"/>
      <c r="JT29" s="3045"/>
      <c r="JU29" s="3045"/>
      <c r="JV29" s="3045"/>
      <c r="JW29" s="3045"/>
      <c r="JX29" s="3045"/>
      <c r="JY29" s="3045"/>
      <c r="JZ29" s="3045"/>
      <c r="KA29" s="3045"/>
      <c r="KB29" s="3045"/>
      <c r="KC29" s="3045"/>
      <c r="KD29" s="3045"/>
      <c r="KE29" s="3045"/>
      <c r="KF29" s="3045"/>
      <c r="KG29" s="3045"/>
      <c r="KH29" s="3045"/>
      <c r="KI29" s="3045"/>
      <c r="KJ29" s="3045"/>
      <c r="KK29" s="3045"/>
      <c r="KL29" s="3045"/>
      <c r="KM29" s="3045"/>
      <c r="KN29" s="3045"/>
      <c r="KO29" s="3045"/>
    </row>
    <row r="30" spans="1:301" ht="21.9" hidden="1" customHeight="1">
      <c r="A30" s="2566"/>
      <c r="B30" s="3045"/>
      <c r="C30" s="3136" t="s">
        <v>471</v>
      </c>
      <c r="D30" s="3137">
        <v>5249</v>
      </c>
      <c r="E30" s="3138">
        <v>5363</v>
      </c>
      <c r="F30" s="3138">
        <v>6058</v>
      </c>
      <c r="G30" s="3138">
        <v>5138</v>
      </c>
      <c r="H30" s="3138">
        <v>5401</v>
      </c>
      <c r="I30" s="3138">
        <v>6770</v>
      </c>
      <c r="J30" s="3138">
        <v>8705</v>
      </c>
      <c r="K30" s="3138">
        <v>7782</v>
      </c>
      <c r="L30" s="3138">
        <v>6227</v>
      </c>
      <c r="M30" s="3138">
        <v>6722</v>
      </c>
      <c r="N30" s="3138">
        <v>7258</v>
      </c>
      <c r="O30" s="3139">
        <v>6440</v>
      </c>
      <c r="P30" s="3140">
        <v>5955</v>
      </c>
      <c r="Q30" s="3141">
        <v>8853</v>
      </c>
      <c r="R30" s="3141">
        <v>6703</v>
      </c>
      <c r="S30" s="3141">
        <v>6269</v>
      </c>
      <c r="T30" s="3141">
        <v>6454</v>
      </c>
      <c r="U30" s="3141">
        <v>7991</v>
      </c>
      <c r="V30" s="3141">
        <v>8830</v>
      </c>
      <c r="W30" s="3141">
        <v>8072</v>
      </c>
      <c r="X30" s="3141">
        <v>6701</v>
      </c>
      <c r="Y30" s="3141">
        <v>7497</v>
      </c>
      <c r="Z30" s="3141">
        <v>7733</v>
      </c>
      <c r="AA30" s="3142">
        <v>6662</v>
      </c>
      <c r="AB30" s="3143">
        <v>6229</v>
      </c>
      <c r="AC30" s="3144">
        <v>6061</v>
      </c>
      <c r="AD30" s="3144">
        <v>6574</v>
      </c>
      <c r="AE30" s="3144">
        <v>6466</v>
      </c>
      <c r="AF30" s="3144">
        <v>5731</v>
      </c>
      <c r="AG30" s="3144">
        <v>7912</v>
      </c>
      <c r="AH30" s="3144">
        <v>8969</v>
      </c>
      <c r="AI30" s="3144">
        <v>8144</v>
      </c>
      <c r="AJ30" s="3144">
        <v>6492</v>
      </c>
      <c r="AK30" s="3144">
        <v>6994</v>
      </c>
      <c r="AL30" s="3144">
        <v>7801</v>
      </c>
      <c r="AM30" s="3144">
        <v>7494</v>
      </c>
      <c r="AN30" s="3145">
        <v>6714</v>
      </c>
      <c r="AO30" s="3145">
        <v>7673</v>
      </c>
      <c r="AP30" s="3145">
        <v>7373</v>
      </c>
      <c r="AQ30" s="3145">
        <v>6302</v>
      </c>
      <c r="AR30" s="3145">
        <v>6796</v>
      </c>
      <c r="AS30" s="3145">
        <v>7833</v>
      </c>
      <c r="AT30" s="3145">
        <v>8811</v>
      </c>
      <c r="AU30" s="3145">
        <v>7840</v>
      </c>
      <c r="AV30" s="3145">
        <v>6569</v>
      </c>
      <c r="AW30" s="3145">
        <v>7711</v>
      </c>
      <c r="AX30" s="3145">
        <v>7804.2925792090082</v>
      </c>
      <c r="AY30" s="3146">
        <v>7193</v>
      </c>
      <c r="AZ30" s="3147">
        <v>6507</v>
      </c>
      <c r="BA30" s="3148">
        <v>6844</v>
      </c>
      <c r="BB30" s="3148">
        <v>7755</v>
      </c>
      <c r="BC30" s="3148">
        <v>7107</v>
      </c>
      <c r="BD30" s="3148">
        <v>7344</v>
      </c>
      <c r="BE30" s="3148">
        <v>8589</v>
      </c>
      <c r="BF30" s="3148">
        <v>9423</v>
      </c>
      <c r="BG30" s="3148">
        <v>8289</v>
      </c>
      <c r="BH30" s="3148">
        <v>7298</v>
      </c>
      <c r="BI30" s="3148">
        <v>7527</v>
      </c>
      <c r="BJ30" s="3148">
        <v>8537</v>
      </c>
      <c r="BK30" s="3149">
        <v>7990</v>
      </c>
      <c r="BL30" s="3150">
        <v>6975</v>
      </c>
      <c r="BM30" s="3151">
        <v>7185</v>
      </c>
      <c r="BN30" s="3151">
        <v>8151</v>
      </c>
      <c r="BO30" s="3151">
        <v>7512</v>
      </c>
      <c r="BP30" s="3151">
        <v>7915</v>
      </c>
      <c r="BQ30" s="3151">
        <v>10111</v>
      </c>
      <c r="BR30" s="3151">
        <v>10486</v>
      </c>
      <c r="BS30" s="3151">
        <v>9048</v>
      </c>
      <c r="BT30" s="3152">
        <v>8431</v>
      </c>
      <c r="BU30" s="3152">
        <v>9329</v>
      </c>
      <c r="BV30" s="3152">
        <v>9566</v>
      </c>
      <c r="BW30" s="3223">
        <v>9604</v>
      </c>
      <c r="BX30" s="3224">
        <v>8135</v>
      </c>
      <c r="BY30" s="3155">
        <v>8014</v>
      </c>
      <c r="BZ30" s="3155">
        <v>9164</v>
      </c>
      <c r="CA30" s="3155">
        <v>8563</v>
      </c>
      <c r="CB30" s="3155">
        <v>9162</v>
      </c>
      <c r="CC30" s="3155">
        <v>10850</v>
      </c>
      <c r="CD30" s="3155">
        <v>11773</v>
      </c>
      <c r="CE30" s="3155">
        <v>9960</v>
      </c>
      <c r="CF30" s="3155">
        <v>9763</v>
      </c>
      <c r="CG30" s="3155">
        <v>10335</v>
      </c>
      <c r="CH30" s="3155">
        <v>11289</v>
      </c>
      <c r="CI30" s="3156">
        <v>11139</v>
      </c>
      <c r="CJ30" s="3157">
        <v>9026</v>
      </c>
      <c r="CK30" s="3158">
        <v>10213</v>
      </c>
      <c r="CL30" s="3158">
        <v>10003</v>
      </c>
      <c r="CM30" s="3158">
        <v>9562</v>
      </c>
      <c r="CN30" s="3158">
        <v>9741</v>
      </c>
      <c r="CO30" s="3158">
        <v>10076</v>
      </c>
      <c r="CP30" s="3158">
        <v>13494</v>
      </c>
      <c r="CQ30" s="3158">
        <v>10997</v>
      </c>
      <c r="CR30" s="3158">
        <v>10964</v>
      </c>
      <c r="CS30" s="3158">
        <v>11818</v>
      </c>
      <c r="CT30" s="3158">
        <v>12979</v>
      </c>
      <c r="CU30" s="3159">
        <v>13743</v>
      </c>
      <c r="CV30" s="3240">
        <v>9945</v>
      </c>
      <c r="CW30" s="3158">
        <v>9633</v>
      </c>
      <c r="CX30" s="3241">
        <v>11129</v>
      </c>
      <c r="CY30" s="3241">
        <v>10296</v>
      </c>
      <c r="CZ30" s="3241">
        <v>10349</v>
      </c>
      <c r="DA30" s="3241">
        <v>12133</v>
      </c>
      <c r="DB30" s="3241">
        <v>13279</v>
      </c>
      <c r="DC30" s="3241">
        <v>9977</v>
      </c>
      <c r="DD30" s="3161">
        <v>10332</v>
      </c>
      <c r="DE30" s="3161">
        <v>10928</v>
      </c>
      <c r="DF30" s="3148"/>
      <c r="DG30" s="3148"/>
      <c r="DH30" s="3242">
        <v>9232</v>
      </c>
      <c r="DI30" s="3243">
        <v>9733</v>
      </c>
      <c r="DJ30" s="3243">
        <v>9861</v>
      </c>
      <c r="DK30" s="3164">
        <v>7938</v>
      </c>
      <c r="DL30" s="3164">
        <v>8302</v>
      </c>
      <c r="DM30" s="3164">
        <v>10699</v>
      </c>
      <c r="DN30" s="3164">
        <v>11981</v>
      </c>
      <c r="DO30" s="3164">
        <v>8833</v>
      </c>
      <c r="DP30" s="3164">
        <v>7942</v>
      </c>
      <c r="DQ30" s="3164">
        <v>10780</v>
      </c>
      <c r="DR30" s="3164">
        <v>9579</v>
      </c>
      <c r="DS30" s="3163">
        <v>11179</v>
      </c>
      <c r="DT30" s="3165">
        <v>8435</v>
      </c>
      <c r="DU30" s="3165">
        <v>8473</v>
      </c>
      <c r="DV30" s="3165">
        <v>9640</v>
      </c>
      <c r="DW30" s="3165">
        <v>9136</v>
      </c>
      <c r="DX30" s="3165">
        <v>8284</v>
      </c>
      <c r="DY30" s="3165">
        <v>11469</v>
      </c>
      <c r="DZ30" s="3166"/>
      <c r="EA30" s="3166"/>
      <c r="EB30" s="3166"/>
      <c r="EC30" s="3166"/>
      <c r="ED30" s="3166"/>
      <c r="EE30" s="3166"/>
      <c r="EF30" s="3165">
        <v>8435</v>
      </c>
      <c r="EG30" s="3165">
        <v>8473</v>
      </c>
      <c r="EH30" s="3165">
        <v>9640</v>
      </c>
      <c r="EI30" s="3165">
        <v>9136</v>
      </c>
      <c r="EJ30" s="3165">
        <v>8284</v>
      </c>
      <c r="EK30" s="3165">
        <v>11469</v>
      </c>
      <c r="EL30" s="3166"/>
      <c r="EM30" s="3166"/>
      <c r="EN30" s="3166"/>
      <c r="EO30" s="3166"/>
      <c r="EP30" s="3166"/>
      <c r="EQ30" s="3166"/>
      <c r="ER30" s="3165">
        <v>8435</v>
      </c>
      <c r="ES30" s="3165">
        <v>8473</v>
      </c>
      <c r="ET30" s="3165">
        <v>9640</v>
      </c>
      <c r="EU30" s="3165">
        <v>9136</v>
      </c>
      <c r="EV30" s="3165">
        <v>8284</v>
      </c>
      <c r="EW30" s="3165">
        <v>11469</v>
      </c>
      <c r="EX30" s="3166"/>
      <c r="EY30" s="3166"/>
      <c r="EZ30" s="3166"/>
      <c r="FA30" s="3166"/>
      <c r="FB30" s="3166"/>
      <c r="FC30" s="3166"/>
      <c r="FD30" s="2669"/>
      <c r="FE30" s="2669"/>
      <c r="FF30" s="2669"/>
      <c r="FG30" s="2669"/>
      <c r="FH30" s="2669"/>
      <c r="FI30" s="2669"/>
      <c r="FJ30" s="2669"/>
      <c r="FK30" s="2669"/>
      <c r="FL30" s="2669"/>
      <c r="FM30" s="2669"/>
      <c r="FN30" s="2669"/>
      <c r="FO30" s="2669"/>
      <c r="FP30" s="2670"/>
      <c r="FQ30" s="2669"/>
      <c r="FR30" s="2669"/>
      <c r="FS30" s="2669"/>
      <c r="FT30" s="2669"/>
      <c r="FU30" s="2669"/>
      <c r="FV30" s="2669"/>
      <c r="FW30" s="2669"/>
      <c r="FX30" s="2669"/>
      <c r="FY30" s="2669"/>
      <c r="FZ30" s="2669"/>
      <c r="GA30" s="2669"/>
      <c r="GB30" s="2595"/>
      <c r="GC30" s="2569"/>
      <c r="GD30" s="2671">
        <v>16670</v>
      </c>
      <c r="GE30" s="2672">
        <v>17309</v>
      </c>
      <c r="GF30" s="2672">
        <v>22714</v>
      </c>
      <c r="GG30" s="2673">
        <v>20420</v>
      </c>
      <c r="GH30" s="2674">
        <v>21511</v>
      </c>
      <c r="GI30" s="2675">
        <v>20714</v>
      </c>
      <c r="GJ30" s="2675">
        <v>23603</v>
      </c>
      <c r="GK30" s="2676">
        <v>21892</v>
      </c>
      <c r="GL30" s="2677">
        <v>18864</v>
      </c>
      <c r="GM30" s="2678">
        <v>20109</v>
      </c>
      <c r="GN30" s="2679">
        <v>23605</v>
      </c>
      <c r="GO30" s="2679">
        <v>22289</v>
      </c>
      <c r="GP30" s="2680">
        <v>21760</v>
      </c>
      <c r="GQ30" s="2681">
        <v>20931</v>
      </c>
      <c r="GR30" s="2681">
        <v>23220</v>
      </c>
      <c r="GS30" s="2682">
        <v>22708.29257920901</v>
      </c>
      <c r="GT30" s="2683">
        <v>21106</v>
      </c>
      <c r="GU30" s="2684">
        <v>23040</v>
      </c>
      <c r="GV30" s="2684">
        <v>25010</v>
      </c>
      <c r="GW30" s="2685">
        <v>24054</v>
      </c>
      <c r="GX30" s="2681">
        <v>22311</v>
      </c>
      <c r="GY30" s="2681">
        <v>25538</v>
      </c>
      <c r="GZ30" s="2681">
        <v>27965</v>
      </c>
      <c r="HA30" s="2681">
        <v>28499</v>
      </c>
      <c r="HB30" s="2686">
        <v>25313</v>
      </c>
      <c r="HC30" s="2686">
        <v>28575</v>
      </c>
      <c r="HD30" s="2686">
        <v>31496</v>
      </c>
      <c r="HE30" s="2686">
        <v>32763</v>
      </c>
      <c r="HF30" s="2687">
        <v>29242</v>
      </c>
      <c r="HG30" s="2687">
        <v>29379</v>
      </c>
      <c r="HH30" s="2687">
        <v>36309</v>
      </c>
      <c r="HI30" s="2687">
        <v>38540</v>
      </c>
      <c r="HJ30" s="2688">
        <v>30707</v>
      </c>
      <c r="HK30" s="2688">
        <v>31573</v>
      </c>
      <c r="HL30" s="2688">
        <v>34184</v>
      </c>
      <c r="HM30" s="2689">
        <f t="shared" si="1"/>
        <v>28826</v>
      </c>
      <c r="HN30" s="2689">
        <f t="shared" si="2"/>
        <v>26939</v>
      </c>
      <c r="HO30" s="2689">
        <f t="shared" si="3"/>
        <v>28756</v>
      </c>
      <c r="HP30" s="2689">
        <f t="shared" si="4"/>
        <v>31538</v>
      </c>
      <c r="HQ30" s="2690">
        <f t="shared" si="5"/>
        <v>26548</v>
      </c>
      <c r="HR30" s="2690">
        <f t="shared" si="6"/>
        <v>28889</v>
      </c>
      <c r="HS30" s="2570"/>
      <c r="HT30" s="2569"/>
      <c r="HU30" s="2681"/>
      <c r="HV30" s="2686"/>
      <c r="HW30" s="2686"/>
      <c r="HX30" s="2686"/>
      <c r="HY30" s="2681"/>
      <c r="HZ30" s="2686"/>
      <c r="IA30" s="2686"/>
      <c r="IB30" s="2686"/>
      <c r="IC30" s="2686"/>
      <c r="ID30" s="2686"/>
      <c r="IE30" s="2686"/>
      <c r="IF30" s="2686"/>
      <c r="IG30" s="2686"/>
      <c r="IH30" s="2686"/>
      <c r="II30" s="2686"/>
      <c r="IJ30" s="2686"/>
      <c r="IK30" s="2691">
        <v>77113</v>
      </c>
      <c r="IL30" s="3167">
        <v>87720</v>
      </c>
      <c r="IM30" s="3167">
        <v>84867</v>
      </c>
      <c r="IN30" s="3167">
        <v>88619.29257920901</v>
      </c>
      <c r="IO30" s="3167">
        <v>93210</v>
      </c>
      <c r="IP30" s="3167">
        <v>104313</v>
      </c>
      <c r="IQ30" s="3167">
        <v>118147</v>
      </c>
      <c r="IR30" s="3167">
        <v>132616</v>
      </c>
      <c r="IS30" s="3168">
        <v>134723</v>
      </c>
      <c r="IT30" s="3168">
        <f t="shared" si="7"/>
        <v>115262</v>
      </c>
      <c r="IU30" s="3169">
        <f t="shared" si="8"/>
        <v>103750</v>
      </c>
      <c r="IV30" s="3099"/>
      <c r="IW30" s="3099"/>
      <c r="IX30" s="3099"/>
      <c r="IY30" s="3100"/>
      <c r="IZ30" s="3101"/>
      <c r="JA30" s="3578"/>
      <c r="JC30" s="3099"/>
      <c r="JD30" s="3045"/>
      <c r="JE30" s="3045"/>
      <c r="JF30" s="3045"/>
      <c r="JG30" s="3045"/>
      <c r="JH30" s="2566"/>
      <c r="JI30" s="3076"/>
      <c r="JJ30" s="2566"/>
      <c r="JK30" s="2566"/>
      <c r="JL30" s="2566"/>
      <c r="JM30" s="2566"/>
      <c r="JN30" s="2566"/>
      <c r="JO30" s="2566"/>
      <c r="JP30" s="2566"/>
      <c r="JQ30" s="2566"/>
      <c r="JS30" s="3045"/>
      <c r="JT30" s="3045"/>
      <c r="JU30" s="3045"/>
      <c r="JV30" s="3045"/>
      <c r="JW30" s="3045"/>
      <c r="JX30" s="3045"/>
      <c r="JY30" s="3045"/>
      <c r="JZ30" s="3045"/>
      <c r="KA30" s="3045"/>
      <c r="KB30" s="3045"/>
      <c r="KC30" s="3045"/>
      <c r="KD30" s="3045"/>
      <c r="KE30" s="3045"/>
      <c r="KF30" s="3045"/>
      <c r="KG30" s="3045"/>
      <c r="KH30" s="3045"/>
      <c r="KI30" s="3045"/>
      <c r="KJ30" s="3045"/>
      <c r="KK30" s="3045"/>
      <c r="KL30" s="3045"/>
      <c r="KM30" s="3045"/>
      <c r="KN30" s="3045"/>
      <c r="KO30" s="3045"/>
    </row>
    <row r="31" spans="1:301" ht="18.75" hidden="1" customHeight="1">
      <c r="A31" s="2566"/>
      <c r="B31" s="3045"/>
      <c r="C31" s="3136" t="s">
        <v>472</v>
      </c>
      <c r="D31" s="3137">
        <v>6672</v>
      </c>
      <c r="E31" s="3138">
        <v>6708</v>
      </c>
      <c r="F31" s="3138">
        <v>7169</v>
      </c>
      <c r="G31" s="3138">
        <v>6383</v>
      </c>
      <c r="H31" s="3138">
        <v>6238</v>
      </c>
      <c r="I31" s="3138">
        <v>6996</v>
      </c>
      <c r="J31" s="3138">
        <v>9044</v>
      </c>
      <c r="K31" s="3138">
        <v>7836</v>
      </c>
      <c r="L31" s="3138">
        <v>6632</v>
      </c>
      <c r="M31" s="3138">
        <v>8725</v>
      </c>
      <c r="N31" s="3138">
        <v>8659</v>
      </c>
      <c r="O31" s="3139">
        <v>6968</v>
      </c>
      <c r="P31" s="3140">
        <v>7959</v>
      </c>
      <c r="Q31" s="3141">
        <v>11891</v>
      </c>
      <c r="R31" s="3141">
        <v>8225</v>
      </c>
      <c r="S31" s="3141">
        <v>8215</v>
      </c>
      <c r="T31" s="3141">
        <v>8531</v>
      </c>
      <c r="U31" s="3141">
        <v>8312</v>
      </c>
      <c r="V31" s="3141">
        <v>9382</v>
      </c>
      <c r="W31" s="3141">
        <v>8562</v>
      </c>
      <c r="X31" s="3141">
        <v>7637</v>
      </c>
      <c r="Y31" s="3141">
        <v>9462</v>
      </c>
      <c r="Z31" s="3141">
        <v>9578</v>
      </c>
      <c r="AA31" s="3142">
        <v>7207</v>
      </c>
      <c r="AB31" s="3143">
        <v>8097</v>
      </c>
      <c r="AC31" s="3144">
        <v>7836</v>
      </c>
      <c r="AD31" s="3144">
        <v>7907</v>
      </c>
      <c r="AE31" s="3144">
        <v>8024</v>
      </c>
      <c r="AF31" s="3144">
        <v>7446</v>
      </c>
      <c r="AG31" s="3144">
        <v>8206</v>
      </c>
      <c r="AH31" s="3144">
        <v>9271</v>
      </c>
      <c r="AI31" s="3144">
        <v>8146</v>
      </c>
      <c r="AJ31" s="3144">
        <v>7185</v>
      </c>
      <c r="AK31" s="3144">
        <v>8791</v>
      </c>
      <c r="AL31" s="3144">
        <v>8866</v>
      </c>
      <c r="AM31" s="3144">
        <v>7816</v>
      </c>
      <c r="AN31" s="3145">
        <v>8016</v>
      </c>
      <c r="AO31" s="3145">
        <v>8658</v>
      </c>
      <c r="AP31" s="3145">
        <v>8634</v>
      </c>
      <c r="AQ31" s="3145">
        <v>7470</v>
      </c>
      <c r="AR31" s="3145">
        <v>8414</v>
      </c>
      <c r="AS31" s="3145">
        <v>8062</v>
      </c>
      <c r="AT31" s="3145">
        <v>9141</v>
      </c>
      <c r="AU31" s="3145">
        <v>8013</v>
      </c>
      <c r="AV31" s="3145">
        <v>7025</v>
      </c>
      <c r="AW31" s="3145">
        <v>9359</v>
      </c>
      <c r="AX31" s="3145">
        <v>8625.034997704086</v>
      </c>
      <c r="AY31" s="3146">
        <v>7631</v>
      </c>
      <c r="AZ31" s="3147">
        <v>8001</v>
      </c>
      <c r="BA31" s="3148">
        <v>8521</v>
      </c>
      <c r="BB31" s="3148">
        <v>8954</v>
      </c>
      <c r="BC31" s="3148">
        <v>8843</v>
      </c>
      <c r="BD31" s="3148">
        <v>9030</v>
      </c>
      <c r="BE31" s="3148">
        <v>8832</v>
      </c>
      <c r="BF31" s="3148">
        <v>10139</v>
      </c>
      <c r="BG31" s="3148">
        <v>8387</v>
      </c>
      <c r="BH31" s="3148">
        <v>8198</v>
      </c>
      <c r="BI31" s="3148">
        <v>10241</v>
      </c>
      <c r="BJ31" s="3148">
        <v>10460</v>
      </c>
      <c r="BK31" s="3149">
        <v>8316</v>
      </c>
      <c r="BL31" s="3150">
        <v>7703</v>
      </c>
      <c r="BM31" s="3151">
        <v>7414</v>
      </c>
      <c r="BN31" s="3151">
        <v>9563</v>
      </c>
      <c r="BO31" s="3151">
        <v>8993</v>
      </c>
      <c r="BP31" s="3151">
        <v>9925</v>
      </c>
      <c r="BQ31" s="3151">
        <v>10333</v>
      </c>
      <c r="BR31" s="3151">
        <v>11231</v>
      </c>
      <c r="BS31" s="3151">
        <v>10107</v>
      </c>
      <c r="BT31" s="3152">
        <v>9577</v>
      </c>
      <c r="BU31" s="3152">
        <v>11637</v>
      </c>
      <c r="BV31" s="3152">
        <v>11814</v>
      </c>
      <c r="BW31" s="3223">
        <v>10183</v>
      </c>
      <c r="BX31" s="3224">
        <v>10328</v>
      </c>
      <c r="BY31" s="3155">
        <v>9950</v>
      </c>
      <c r="BZ31" s="3155">
        <v>10909</v>
      </c>
      <c r="CA31" s="3155">
        <v>10251</v>
      </c>
      <c r="CB31" s="3155">
        <v>10979</v>
      </c>
      <c r="CC31" s="3155">
        <v>11233</v>
      </c>
      <c r="CD31" s="3155">
        <v>12350</v>
      </c>
      <c r="CE31" s="3155">
        <v>10430</v>
      </c>
      <c r="CF31" s="3155">
        <v>11212</v>
      </c>
      <c r="CG31" s="3155">
        <v>12601</v>
      </c>
      <c r="CH31" s="3155">
        <v>13173</v>
      </c>
      <c r="CI31" s="3156">
        <v>11657</v>
      </c>
      <c r="CJ31" s="3157">
        <v>11448</v>
      </c>
      <c r="CK31" s="3158">
        <v>8292</v>
      </c>
      <c r="CL31" s="3158">
        <v>11358</v>
      </c>
      <c r="CM31" s="3158">
        <v>11357</v>
      </c>
      <c r="CN31" s="3158">
        <v>11716</v>
      </c>
      <c r="CO31" s="3158">
        <v>7861</v>
      </c>
      <c r="CP31" s="3158">
        <v>13540</v>
      </c>
      <c r="CQ31" s="3158">
        <v>11514</v>
      </c>
      <c r="CR31" s="3158">
        <v>12106</v>
      </c>
      <c r="CS31" s="3158">
        <v>13774</v>
      </c>
      <c r="CT31" s="3158">
        <v>14766</v>
      </c>
      <c r="CU31" s="3159">
        <v>14079</v>
      </c>
      <c r="CV31" s="3240">
        <v>12710</v>
      </c>
      <c r="CW31" s="3158">
        <v>11817</v>
      </c>
      <c r="CX31" s="3241">
        <v>12523</v>
      </c>
      <c r="CY31" s="3241">
        <v>11452</v>
      </c>
      <c r="CZ31" s="3241">
        <v>12493</v>
      </c>
      <c r="DA31" s="3241">
        <v>11979</v>
      </c>
      <c r="DB31" s="3241">
        <v>13860</v>
      </c>
      <c r="DC31" s="3241">
        <v>10712</v>
      </c>
      <c r="DD31" s="3161">
        <v>11579</v>
      </c>
      <c r="DE31" s="3161">
        <v>13715</v>
      </c>
      <c r="DF31" s="3148"/>
      <c r="DG31" s="3148"/>
      <c r="DH31" s="3242">
        <v>11853</v>
      </c>
      <c r="DI31" s="3243">
        <v>11898</v>
      </c>
      <c r="DJ31" s="3243">
        <v>12000</v>
      </c>
      <c r="DK31" s="3164">
        <v>10423</v>
      </c>
      <c r="DL31" s="3164">
        <v>10630</v>
      </c>
      <c r="DM31" s="3164">
        <v>11650</v>
      </c>
      <c r="DN31" s="3164">
        <v>13251</v>
      </c>
      <c r="DO31" s="3164">
        <v>10154</v>
      </c>
      <c r="DP31" s="3164">
        <v>9653</v>
      </c>
      <c r="DQ31" s="3164">
        <v>14086</v>
      </c>
      <c r="DR31" s="3164">
        <v>12283</v>
      </c>
      <c r="DS31" s="3163">
        <v>12337</v>
      </c>
      <c r="DT31" s="3165">
        <v>11762</v>
      </c>
      <c r="DU31" s="3165">
        <v>11143</v>
      </c>
      <c r="DV31" s="3165">
        <v>12365</v>
      </c>
      <c r="DW31" s="3165">
        <v>11940</v>
      </c>
      <c r="DX31" s="3165">
        <v>11371</v>
      </c>
      <c r="DY31" s="3165">
        <v>12714</v>
      </c>
      <c r="DZ31" s="3166"/>
      <c r="EA31" s="3166"/>
      <c r="EB31" s="3166"/>
      <c r="EC31" s="3166"/>
      <c r="ED31" s="3166"/>
      <c r="EE31" s="3166"/>
      <c r="EF31" s="3165">
        <v>11762</v>
      </c>
      <c r="EG31" s="3165">
        <v>11143</v>
      </c>
      <c r="EH31" s="3165">
        <v>12365</v>
      </c>
      <c r="EI31" s="3165">
        <v>11940</v>
      </c>
      <c r="EJ31" s="3165">
        <v>11371</v>
      </c>
      <c r="EK31" s="3165">
        <v>12714</v>
      </c>
      <c r="EL31" s="3166"/>
      <c r="EM31" s="3166"/>
      <c r="EN31" s="3166"/>
      <c r="EO31" s="3166"/>
      <c r="EP31" s="3166"/>
      <c r="EQ31" s="3166"/>
      <c r="ER31" s="3165">
        <v>11762</v>
      </c>
      <c r="ES31" s="3165">
        <v>11143</v>
      </c>
      <c r="ET31" s="3165">
        <v>12365</v>
      </c>
      <c r="EU31" s="3165">
        <v>11940</v>
      </c>
      <c r="EV31" s="3165">
        <v>11371</v>
      </c>
      <c r="EW31" s="3165">
        <v>12714</v>
      </c>
      <c r="EX31" s="3166"/>
      <c r="EY31" s="3166"/>
      <c r="EZ31" s="3166"/>
      <c r="FA31" s="3166"/>
      <c r="FB31" s="3166"/>
      <c r="FC31" s="3166"/>
      <c r="FD31" s="2669"/>
      <c r="FE31" s="2669"/>
      <c r="FF31" s="2669"/>
      <c r="FG31" s="2669"/>
      <c r="FH31" s="2669"/>
      <c r="FI31" s="2669"/>
      <c r="FJ31" s="2669"/>
      <c r="FK31" s="2669"/>
      <c r="FL31" s="2669"/>
      <c r="FM31" s="2669"/>
      <c r="FN31" s="2669"/>
      <c r="FO31" s="2669"/>
      <c r="FP31" s="2670"/>
      <c r="FQ31" s="2669"/>
      <c r="FR31" s="2669"/>
      <c r="FS31" s="2669"/>
      <c r="FT31" s="2669"/>
      <c r="FU31" s="2669"/>
      <c r="FV31" s="2669"/>
      <c r="FW31" s="2669"/>
      <c r="FX31" s="2669"/>
      <c r="FY31" s="2669"/>
      <c r="FZ31" s="2669"/>
      <c r="GA31" s="2669"/>
      <c r="GB31" s="2595"/>
      <c r="GC31" s="2569"/>
      <c r="GD31" s="2671">
        <v>20549</v>
      </c>
      <c r="GE31" s="2672">
        <v>19617</v>
      </c>
      <c r="GF31" s="2672">
        <v>23512</v>
      </c>
      <c r="GG31" s="2673">
        <v>24352</v>
      </c>
      <c r="GH31" s="2674">
        <v>28075</v>
      </c>
      <c r="GI31" s="2675">
        <v>25058</v>
      </c>
      <c r="GJ31" s="2675">
        <v>25581</v>
      </c>
      <c r="GK31" s="2676">
        <v>26247</v>
      </c>
      <c r="GL31" s="2677">
        <v>23840</v>
      </c>
      <c r="GM31" s="2678">
        <v>23676</v>
      </c>
      <c r="GN31" s="2679">
        <v>24602</v>
      </c>
      <c r="GO31" s="2679">
        <v>25473</v>
      </c>
      <c r="GP31" s="2680">
        <v>25308</v>
      </c>
      <c r="GQ31" s="2681">
        <v>23946</v>
      </c>
      <c r="GR31" s="2681">
        <v>24179</v>
      </c>
      <c r="GS31" s="2682">
        <v>25615.034997704086</v>
      </c>
      <c r="GT31" s="2683">
        <v>25476</v>
      </c>
      <c r="GU31" s="2684">
        <v>26705</v>
      </c>
      <c r="GV31" s="2684">
        <v>26724</v>
      </c>
      <c r="GW31" s="2685">
        <v>29017</v>
      </c>
      <c r="GX31" s="2681">
        <v>24680</v>
      </c>
      <c r="GY31" s="2681">
        <v>29251</v>
      </c>
      <c r="GZ31" s="2681">
        <v>30915</v>
      </c>
      <c r="HA31" s="2681">
        <v>33634</v>
      </c>
      <c r="HB31" s="2686">
        <v>31187</v>
      </c>
      <c r="HC31" s="2686">
        <v>32463</v>
      </c>
      <c r="HD31" s="2686">
        <v>33992</v>
      </c>
      <c r="HE31" s="2686">
        <v>37431</v>
      </c>
      <c r="HF31" s="2687">
        <v>31098</v>
      </c>
      <c r="HG31" s="2687">
        <v>30934</v>
      </c>
      <c r="HH31" s="2687">
        <v>38828</v>
      </c>
      <c r="HI31" s="2687">
        <v>42619</v>
      </c>
      <c r="HJ31" s="2688">
        <v>37050</v>
      </c>
      <c r="HK31" s="2688">
        <v>37660</v>
      </c>
      <c r="HL31" s="2688">
        <v>38287</v>
      </c>
      <c r="HM31" s="2689">
        <f t="shared" si="1"/>
        <v>35751</v>
      </c>
      <c r="HN31" s="2689">
        <f t="shared" si="2"/>
        <v>32703</v>
      </c>
      <c r="HO31" s="2689">
        <f t="shared" si="3"/>
        <v>33058</v>
      </c>
      <c r="HP31" s="2689">
        <f t="shared" si="4"/>
        <v>38706</v>
      </c>
      <c r="HQ31" s="2690">
        <f t="shared" si="5"/>
        <v>35270</v>
      </c>
      <c r="HR31" s="2690">
        <f t="shared" si="6"/>
        <v>36025</v>
      </c>
      <c r="HS31" s="2570"/>
      <c r="HT31" s="2569"/>
      <c r="HU31" s="2681"/>
      <c r="HV31" s="2686"/>
      <c r="HW31" s="2686"/>
      <c r="HX31" s="2686"/>
      <c r="HY31" s="2681"/>
      <c r="HZ31" s="2686"/>
      <c r="IA31" s="2686"/>
      <c r="IB31" s="2686"/>
      <c r="IC31" s="2686"/>
      <c r="ID31" s="2686"/>
      <c r="IE31" s="2686"/>
      <c r="IF31" s="2686"/>
      <c r="IG31" s="2686"/>
      <c r="IH31" s="2686"/>
      <c r="II31" s="2686"/>
      <c r="IJ31" s="2686"/>
      <c r="IK31" s="2691">
        <v>88030</v>
      </c>
      <c r="IL31" s="3167">
        <v>104961</v>
      </c>
      <c r="IM31" s="3167">
        <v>97591</v>
      </c>
      <c r="IN31" s="3167">
        <v>99048.03499770409</v>
      </c>
      <c r="IO31" s="3167">
        <v>107922</v>
      </c>
      <c r="IP31" s="3167">
        <v>118480</v>
      </c>
      <c r="IQ31" s="3167">
        <v>135073</v>
      </c>
      <c r="IR31" s="3167">
        <v>141811</v>
      </c>
      <c r="IS31" s="3168">
        <v>151685</v>
      </c>
      <c r="IT31" s="3168">
        <f t="shared" si="7"/>
        <v>140127</v>
      </c>
      <c r="IU31" s="3169">
        <f t="shared" si="8"/>
        <v>129808</v>
      </c>
      <c r="IV31" s="3099"/>
      <c r="IW31" s="3099"/>
      <c r="IX31" s="3099"/>
      <c r="IY31" s="3100"/>
      <c r="IZ31" s="3101"/>
      <c r="JA31" s="3578"/>
      <c r="JC31" s="3099"/>
      <c r="JD31" s="3045"/>
      <c r="JE31" s="3045"/>
      <c r="JF31" s="3045"/>
      <c r="JG31" s="3045"/>
      <c r="JH31" s="2566"/>
      <c r="JI31" s="3076"/>
      <c r="JJ31" s="2566"/>
      <c r="JK31" s="2566"/>
      <c r="JL31" s="2566"/>
      <c r="JM31" s="2566"/>
      <c r="JN31" s="2566"/>
      <c r="JO31" s="2566"/>
      <c r="JP31" s="2566"/>
      <c r="JQ31" s="2566"/>
      <c r="JS31" s="3045"/>
      <c r="JT31" s="3045"/>
      <c r="JU31" s="3045"/>
      <c r="JV31" s="3045"/>
      <c r="JW31" s="3045"/>
      <c r="JX31" s="3045"/>
      <c r="JY31" s="3045"/>
      <c r="JZ31" s="3045"/>
      <c r="KA31" s="3045"/>
      <c r="KB31" s="3045"/>
      <c r="KC31" s="3045"/>
      <c r="KD31" s="3045"/>
      <c r="KE31" s="3045"/>
      <c r="KF31" s="3045"/>
      <c r="KG31" s="3045"/>
      <c r="KH31" s="3045"/>
      <c r="KI31" s="3045"/>
      <c r="KJ31" s="3045"/>
      <c r="KK31" s="3045"/>
      <c r="KL31" s="3045"/>
      <c r="KM31" s="3045"/>
      <c r="KN31" s="3045"/>
      <c r="KO31" s="3045"/>
    </row>
    <row r="32" spans="1:301" ht="21.9" hidden="1" customHeight="1">
      <c r="A32" s="2566"/>
      <c r="B32" s="3045"/>
      <c r="C32" s="3136" t="s">
        <v>473</v>
      </c>
      <c r="D32" s="3137">
        <v>2625</v>
      </c>
      <c r="E32" s="3138">
        <v>2509</v>
      </c>
      <c r="F32" s="3138">
        <v>2564</v>
      </c>
      <c r="G32" s="3138">
        <v>2172</v>
      </c>
      <c r="H32" s="3138">
        <v>2098</v>
      </c>
      <c r="I32" s="3138">
        <v>2131</v>
      </c>
      <c r="J32" s="3138">
        <v>2453</v>
      </c>
      <c r="K32" s="3138">
        <v>2148</v>
      </c>
      <c r="L32" s="3138">
        <v>2061</v>
      </c>
      <c r="M32" s="3138">
        <v>3163</v>
      </c>
      <c r="N32" s="3138">
        <v>2902</v>
      </c>
      <c r="O32" s="3139">
        <v>2363</v>
      </c>
      <c r="P32" s="3140">
        <v>3166</v>
      </c>
      <c r="Q32" s="3141">
        <v>4621</v>
      </c>
      <c r="R32" s="3141">
        <v>3034</v>
      </c>
      <c r="S32" s="3141">
        <v>2586</v>
      </c>
      <c r="T32" s="3141">
        <v>2858</v>
      </c>
      <c r="U32" s="3141">
        <v>2583</v>
      </c>
      <c r="V32" s="3141">
        <v>2469</v>
      </c>
      <c r="W32" s="3141">
        <v>2482</v>
      </c>
      <c r="X32" s="3141">
        <v>2471</v>
      </c>
      <c r="Y32" s="3141">
        <v>3446</v>
      </c>
      <c r="Z32" s="3141">
        <v>3515</v>
      </c>
      <c r="AA32" s="3142">
        <v>2458</v>
      </c>
      <c r="AB32" s="3143">
        <v>3363</v>
      </c>
      <c r="AC32" s="3144">
        <v>3073</v>
      </c>
      <c r="AD32" s="3144">
        <v>2999</v>
      </c>
      <c r="AE32" s="3144">
        <v>2597</v>
      </c>
      <c r="AF32" s="3144">
        <v>2732</v>
      </c>
      <c r="AG32" s="3144">
        <v>2645</v>
      </c>
      <c r="AH32" s="3144">
        <v>2440</v>
      </c>
      <c r="AI32" s="3144">
        <v>2381</v>
      </c>
      <c r="AJ32" s="3144">
        <v>2218</v>
      </c>
      <c r="AK32" s="3144">
        <v>3019</v>
      </c>
      <c r="AL32" s="3144">
        <v>3332</v>
      </c>
      <c r="AM32" s="3144">
        <v>2574</v>
      </c>
      <c r="AN32" s="3145">
        <v>3261</v>
      </c>
      <c r="AO32" s="3145">
        <v>2925</v>
      </c>
      <c r="AP32" s="3145">
        <v>2934</v>
      </c>
      <c r="AQ32" s="3145">
        <v>2641</v>
      </c>
      <c r="AR32" s="3145">
        <v>2842</v>
      </c>
      <c r="AS32" s="3145">
        <v>2628</v>
      </c>
      <c r="AT32" s="3145">
        <v>2453</v>
      </c>
      <c r="AU32" s="3145">
        <v>2085</v>
      </c>
      <c r="AV32" s="3145">
        <v>2289</v>
      </c>
      <c r="AW32" s="3145">
        <v>3541</v>
      </c>
      <c r="AX32" s="3145">
        <v>3009.3888678152889</v>
      </c>
      <c r="AY32" s="3146">
        <v>2342</v>
      </c>
      <c r="AZ32" s="3147">
        <v>2900</v>
      </c>
      <c r="BA32" s="3148">
        <v>3495</v>
      </c>
      <c r="BB32" s="3148">
        <v>3266</v>
      </c>
      <c r="BC32" s="3148">
        <v>2825</v>
      </c>
      <c r="BD32" s="3148">
        <v>3019</v>
      </c>
      <c r="BE32" s="3148">
        <v>2666</v>
      </c>
      <c r="BF32" s="3148">
        <v>2611</v>
      </c>
      <c r="BG32" s="3148">
        <v>2378</v>
      </c>
      <c r="BH32" s="3148">
        <v>2695</v>
      </c>
      <c r="BI32" s="3148">
        <v>3969</v>
      </c>
      <c r="BJ32" s="3148">
        <v>4061</v>
      </c>
      <c r="BK32" s="3149">
        <v>2603</v>
      </c>
      <c r="BL32" s="3150">
        <v>3250</v>
      </c>
      <c r="BM32" s="3151">
        <v>2858</v>
      </c>
      <c r="BN32" s="3151">
        <v>3568</v>
      </c>
      <c r="BO32" s="3151">
        <v>3142</v>
      </c>
      <c r="BP32" s="3151">
        <v>3612</v>
      </c>
      <c r="BQ32" s="3151">
        <v>3412</v>
      </c>
      <c r="BR32" s="3151">
        <v>2980</v>
      </c>
      <c r="BS32" s="3151">
        <v>3151</v>
      </c>
      <c r="BT32" s="3152">
        <v>3410</v>
      </c>
      <c r="BU32" s="3152">
        <v>4715</v>
      </c>
      <c r="BV32" s="3152">
        <v>4387</v>
      </c>
      <c r="BW32" s="3223">
        <v>3312</v>
      </c>
      <c r="BX32" s="3224">
        <v>3973</v>
      </c>
      <c r="BY32" s="3155">
        <v>3771</v>
      </c>
      <c r="BZ32" s="3155">
        <v>3954</v>
      </c>
      <c r="CA32" s="3155">
        <v>3582</v>
      </c>
      <c r="CB32" s="3155">
        <v>3928</v>
      </c>
      <c r="CC32" s="3155">
        <v>3554</v>
      </c>
      <c r="CD32" s="3155">
        <v>3620</v>
      </c>
      <c r="CE32" s="3155">
        <v>3189</v>
      </c>
      <c r="CF32" s="3155">
        <v>3988</v>
      </c>
      <c r="CG32" s="3155">
        <v>4917</v>
      </c>
      <c r="CH32" s="3155">
        <v>4146</v>
      </c>
      <c r="CI32" s="3156">
        <v>3570</v>
      </c>
      <c r="CJ32" s="3157">
        <v>4680</v>
      </c>
      <c r="CK32" s="3158">
        <v>7348</v>
      </c>
      <c r="CL32" s="3158">
        <v>4278</v>
      </c>
      <c r="CM32" s="3158">
        <v>4082</v>
      </c>
      <c r="CN32" s="3158">
        <v>4324</v>
      </c>
      <c r="CO32" s="3158">
        <v>6303</v>
      </c>
      <c r="CP32" s="3158">
        <v>3984</v>
      </c>
      <c r="CQ32" s="3158">
        <v>3436</v>
      </c>
      <c r="CR32" s="3158">
        <v>4243</v>
      </c>
      <c r="CS32" s="3158">
        <v>5398</v>
      </c>
      <c r="CT32" s="3158">
        <v>5554</v>
      </c>
      <c r="CU32" s="3159">
        <v>4282</v>
      </c>
      <c r="CV32" s="3240">
        <v>5054</v>
      </c>
      <c r="CW32" s="3158">
        <v>5235</v>
      </c>
      <c r="CX32" s="3241">
        <v>5112</v>
      </c>
      <c r="CY32" s="3241">
        <v>4585</v>
      </c>
      <c r="CZ32" s="3241">
        <v>4901</v>
      </c>
      <c r="DA32" s="3241">
        <v>4284</v>
      </c>
      <c r="DB32" s="3241">
        <v>4291</v>
      </c>
      <c r="DC32" s="3241">
        <v>3476</v>
      </c>
      <c r="DD32" s="3161">
        <v>4291</v>
      </c>
      <c r="DE32" s="3161">
        <v>5772</v>
      </c>
      <c r="DF32" s="3148"/>
      <c r="DG32" s="3148"/>
      <c r="DH32" s="3242">
        <v>5230</v>
      </c>
      <c r="DI32" s="3243">
        <v>4957</v>
      </c>
      <c r="DJ32" s="3243">
        <v>4742</v>
      </c>
      <c r="DK32" s="3164">
        <v>4250</v>
      </c>
      <c r="DL32" s="3164">
        <v>4587</v>
      </c>
      <c r="DM32" s="3164">
        <v>4188</v>
      </c>
      <c r="DN32" s="3164">
        <v>3892</v>
      </c>
      <c r="DO32" s="3164">
        <v>3256</v>
      </c>
      <c r="DP32" s="3164">
        <v>3943</v>
      </c>
      <c r="DQ32" s="3164">
        <v>5355</v>
      </c>
      <c r="DR32" s="3164">
        <v>5366</v>
      </c>
      <c r="DS32" s="3163">
        <v>4423</v>
      </c>
      <c r="DT32" s="3165">
        <v>5443</v>
      </c>
      <c r="DU32" s="3165">
        <v>4983</v>
      </c>
      <c r="DV32" s="3165">
        <v>5269</v>
      </c>
      <c r="DW32" s="3165">
        <v>4794</v>
      </c>
      <c r="DX32" s="3165">
        <v>4906</v>
      </c>
      <c r="DY32" s="3165">
        <v>5044</v>
      </c>
      <c r="DZ32" s="3166"/>
      <c r="EA32" s="3166"/>
      <c r="EB32" s="3166"/>
      <c r="EC32" s="3166"/>
      <c r="ED32" s="3166"/>
      <c r="EE32" s="3166"/>
      <c r="EF32" s="3165">
        <v>5443</v>
      </c>
      <c r="EG32" s="3165">
        <v>4983</v>
      </c>
      <c r="EH32" s="3165">
        <v>5269</v>
      </c>
      <c r="EI32" s="3165">
        <v>4794</v>
      </c>
      <c r="EJ32" s="3165">
        <v>4906</v>
      </c>
      <c r="EK32" s="3165">
        <v>5044</v>
      </c>
      <c r="EL32" s="3166"/>
      <c r="EM32" s="3166"/>
      <c r="EN32" s="3166"/>
      <c r="EO32" s="3166"/>
      <c r="EP32" s="3166"/>
      <c r="EQ32" s="3166"/>
      <c r="ER32" s="3165">
        <v>5443</v>
      </c>
      <c r="ES32" s="3165">
        <v>4983</v>
      </c>
      <c r="ET32" s="3165">
        <v>5269</v>
      </c>
      <c r="EU32" s="3165">
        <v>4794</v>
      </c>
      <c r="EV32" s="3165">
        <v>4906</v>
      </c>
      <c r="EW32" s="3165">
        <v>5044</v>
      </c>
      <c r="EX32" s="3166"/>
      <c r="EY32" s="3166"/>
      <c r="EZ32" s="3166"/>
      <c r="FA32" s="3166"/>
      <c r="FB32" s="3166"/>
      <c r="FC32" s="3166"/>
      <c r="FD32" s="2669"/>
      <c r="FE32" s="2669"/>
      <c r="FF32" s="2669"/>
      <c r="FG32" s="2669"/>
      <c r="FH32" s="2669"/>
      <c r="FI32" s="2669"/>
      <c r="FJ32" s="2669"/>
      <c r="FK32" s="2669"/>
      <c r="FL32" s="2669"/>
      <c r="FM32" s="2669"/>
      <c r="FN32" s="2669"/>
      <c r="FO32" s="2669"/>
      <c r="FP32" s="2670"/>
      <c r="FQ32" s="2669"/>
      <c r="FR32" s="2669"/>
      <c r="FS32" s="2669"/>
      <c r="FT32" s="2669"/>
      <c r="FU32" s="2669"/>
      <c r="FV32" s="2669"/>
      <c r="FW32" s="2669"/>
      <c r="FX32" s="2669"/>
      <c r="FY32" s="2669"/>
      <c r="FZ32" s="2669"/>
      <c r="GA32" s="2669"/>
      <c r="GB32" s="2595"/>
      <c r="GC32" s="2569"/>
      <c r="GD32" s="2671">
        <v>7698</v>
      </c>
      <c r="GE32" s="2672">
        <v>6401</v>
      </c>
      <c r="GF32" s="2672">
        <v>6662</v>
      </c>
      <c r="GG32" s="2673">
        <v>8428</v>
      </c>
      <c r="GH32" s="2674">
        <v>10821</v>
      </c>
      <c r="GI32" s="2675">
        <v>8027</v>
      </c>
      <c r="GJ32" s="2675">
        <v>7422</v>
      </c>
      <c r="GK32" s="2676">
        <v>9419</v>
      </c>
      <c r="GL32" s="2677">
        <v>9435</v>
      </c>
      <c r="GM32" s="2678">
        <v>7974</v>
      </c>
      <c r="GN32" s="2679">
        <v>7039</v>
      </c>
      <c r="GO32" s="2679">
        <v>8925</v>
      </c>
      <c r="GP32" s="2680">
        <v>9120</v>
      </c>
      <c r="GQ32" s="2681">
        <v>8111</v>
      </c>
      <c r="GR32" s="2681">
        <v>6827</v>
      </c>
      <c r="GS32" s="2682">
        <v>8892.3888678152889</v>
      </c>
      <c r="GT32" s="2683">
        <v>9661</v>
      </c>
      <c r="GU32" s="2684">
        <v>8510</v>
      </c>
      <c r="GV32" s="2684">
        <v>7684</v>
      </c>
      <c r="GW32" s="2685">
        <v>10633</v>
      </c>
      <c r="GX32" s="2681">
        <v>9676</v>
      </c>
      <c r="GY32" s="2681">
        <v>10166</v>
      </c>
      <c r="GZ32" s="2681">
        <v>9541</v>
      </c>
      <c r="HA32" s="2681">
        <v>12414</v>
      </c>
      <c r="HB32" s="2686">
        <v>11698</v>
      </c>
      <c r="HC32" s="2686">
        <v>11064</v>
      </c>
      <c r="HD32" s="2686">
        <v>10797</v>
      </c>
      <c r="HE32" s="2686">
        <v>12633</v>
      </c>
      <c r="HF32" s="2687">
        <v>16306</v>
      </c>
      <c r="HG32" s="2687">
        <v>14709</v>
      </c>
      <c r="HH32" s="2687">
        <v>12818</v>
      </c>
      <c r="HI32" s="2687">
        <v>15234</v>
      </c>
      <c r="HJ32" s="2688">
        <v>15401</v>
      </c>
      <c r="HK32" s="2688">
        <v>15258</v>
      </c>
      <c r="HL32" s="2688">
        <v>13539</v>
      </c>
      <c r="HM32" s="2689">
        <f t="shared" si="1"/>
        <v>14929</v>
      </c>
      <c r="HN32" s="2689">
        <f t="shared" si="2"/>
        <v>13025</v>
      </c>
      <c r="HO32" s="2689">
        <f t="shared" si="3"/>
        <v>11091</v>
      </c>
      <c r="HP32" s="2689">
        <f t="shared" si="4"/>
        <v>15144</v>
      </c>
      <c r="HQ32" s="2690">
        <f t="shared" si="5"/>
        <v>15695</v>
      </c>
      <c r="HR32" s="2690">
        <f t="shared" si="6"/>
        <v>14744</v>
      </c>
      <c r="HS32" s="2570"/>
      <c r="HT32" s="2569"/>
      <c r="HU32" s="2681"/>
      <c r="HV32" s="2686"/>
      <c r="HW32" s="2686"/>
      <c r="HX32" s="2686"/>
      <c r="HY32" s="2681"/>
      <c r="HZ32" s="2686"/>
      <c r="IA32" s="2686"/>
      <c r="IB32" s="2686"/>
      <c r="IC32" s="2686"/>
      <c r="ID32" s="2686"/>
      <c r="IE32" s="2686"/>
      <c r="IF32" s="2686"/>
      <c r="IG32" s="2686"/>
      <c r="IH32" s="2686"/>
      <c r="II32" s="2686"/>
      <c r="IJ32" s="2686"/>
      <c r="IK32" s="2691">
        <v>29189</v>
      </c>
      <c r="IL32" s="3167">
        <v>35689</v>
      </c>
      <c r="IM32" s="3167">
        <v>33373</v>
      </c>
      <c r="IN32" s="3167">
        <v>32950.388867815287</v>
      </c>
      <c r="IO32" s="3167">
        <v>36488</v>
      </c>
      <c r="IP32" s="3167">
        <v>41797</v>
      </c>
      <c r="IQ32" s="3167">
        <v>46192</v>
      </c>
      <c r="IR32" s="3167">
        <v>57912</v>
      </c>
      <c r="IS32" s="3168">
        <v>56837</v>
      </c>
      <c r="IT32" s="3168">
        <f t="shared" si="7"/>
        <v>54402</v>
      </c>
      <c r="IU32" s="3169">
        <f t="shared" si="8"/>
        <v>52782</v>
      </c>
      <c r="IV32" s="3099"/>
      <c r="IW32" s="3099"/>
      <c r="IX32" s="3099"/>
      <c r="IY32" s="3100"/>
      <c r="IZ32" s="3101"/>
      <c r="JA32" s="3578"/>
      <c r="JC32" s="3099"/>
      <c r="JD32" s="3045"/>
      <c r="JE32" s="3045"/>
      <c r="JF32" s="3045"/>
      <c r="JG32" s="3045"/>
      <c r="JH32" s="2566"/>
      <c r="JI32" s="3076"/>
      <c r="JJ32" s="2566"/>
      <c r="JK32" s="2566"/>
      <c r="JL32" s="2566"/>
      <c r="JM32" s="2566"/>
      <c r="JN32" s="2566"/>
      <c r="JO32" s="2566"/>
      <c r="JP32" s="2566"/>
      <c r="JQ32" s="2566"/>
      <c r="JS32" s="3045"/>
      <c r="JT32" s="3045"/>
      <c r="JU32" s="3045"/>
      <c r="JV32" s="3045"/>
      <c r="JW32" s="3045"/>
      <c r="JX32" s="3045"/>
      <c r="JY32" s="3045"/>
      <c r="JZ32" s="3045"/>
      <c r="KA32" s="3045"/>
      <c r="KB32" s="3045"/>
      <c r="KC32" s="3045"/>
      <c r="KD32" s="3045"/>
      <c r="KE32" s="3045"/>
      <c r="KF32" s="3045"/>
      <c r="KG32" s="3045"/>
      <c r="KH32" s="3045"/>
      <c r="KI32" s="3045"/>
      <c r="KJ32" s="3045"/>
      <c r="KK32" s="3045"/>
      <c r="KL32" s="3045"/>
      <c r="KM32" s="3045"/>
      <c r="KN32" s="3045"/>
      <c r="KO32" s="3045"/>
    </row>
    <row r="33" spans="1:301" ht="21.9" hidden="1" customHeight="1">
      <c r="A33" s="2566"/>
      <c r="B33" s="3045"/>
      <c r="C33" s="3136" t="s">
        <v>157</v>
      </c>
      <c r="D33" s="3137">
        <v>125</v>
      </c>
      <c r="E33" s="3138">
        <v>126</v>
      </c>
      <c r="F33" s="3138">
        <v>147</v>
      </c>
      <c r="G33" s="3138">
        <v>118</v>
      </c>
      <c r="H33" s="3138">
        <v>106</v>
      </c>
      <c r="I33" s="3138">
        <v>139</v>
      </c>
      <c r="J33" s="3138">
        <v>2</v>
      </c>
      <c r="K33" s="3138">
        <v>173</v>
      </c>
      <c r="L33" s="3138">
        <v>160</v>
      </c>
      <c r="M33" s="3138">
        <v>163</v>
      </c>
      <c r="N33" s="3138">
        <v>131</v>
      </c>
      <c r="O33" s="3139">
        <v>127</v>
      </c>
      <c r="P33" s="3140">
        <v>91</v>
      </c>
      <c r="Q33" s="3141">
        <v>144</v>
      </c>
      <c r="R33" s="3141">
        <v>129</v>
      </c>
      <c r="S33" s="3141">
        <v>127</v>
      </c>
      <c r="T33" s="3141">
        <v>129</v>
      </c>
      <c r="U33" s="3141">
        <v>173</v>
      </c>
      <c r="V33" s="3141">
        <v>182</v>
      </c>
      <c r="W33" s="3141">
        <v>261</v>
      </c>
      <c r="X33" s="3141">
        <v>181</v>
      </c>
      <c r="Y33" s="3141">
        <v>139</v>
      </c>
      <c r="Z33" s="3141">
        <v>150</v>
      </c>
      <c r="AA33" s="3142">
        <v>206</v>
      </c>
      <c r="AB33" s="3143">
        <v>154</v>
      </c>
      <c r="AC33" s="3144">
        <v>134</v>
      </c>
      <c r="AD33" s="3144">
        <v>161</v>
      </c>
      <c r="AE33" s="3144">
        <v>139</v>
      </c>
      <c r="AF33" s="3144">
        <v>0</v>
      </c>
      <c r="AG33" s="3144">
        <v>214</v>
      </c>
      <c r="AH33" s="3144">
        <v>479</v>
      </c>
      <c r="AI33" s="3144">
        <v>367</v>
      </c>
      <c r="AJ33" s="3144">
        <v>188</v>
      </c>
      <c r="AK33" s="3144">
        <v>176</v>
      </c>
      <c r="AL33" s="3144">
        <v>181</v>
      </c>
      <c r="AM33" s="3144">
        <v>242</v>
      </c>
      <c r="AN33" s="3145">
        <v>149</v>
      </c>
      <c r="AO33" s="3145">
        <v>304</v>
      </c>
      <c r="AP33" s="3145">
        <v>184</v>
      </c>
      <c r="AQ33" s="3145">
        <v>140</v>
      </c>
      <c r="AR33" s="3145">
        <v>126</v>
      </c>
      <c r="AS33" s="3145">
        <v>213</v>
      </c>
      <c r="AT33" s="3145">
        <v>199</v>
      </c>
      <c r="AU33" s="3145">
        <v>124</v>
      </c>
      <c r="AV33" s="3145">
        <v>121</v>
      </c>
      <c r="AW33" s="3145">
        <v>213</v>
      </c>
      <c r="AX33" s="3145">
        <v>256.81540857274052</v>
      </c>
      <c r="AY33" s="3146">
        <v>153</v>
      </c>
      <c r="AZ33" s="3147">
        <v>148</v>
      </c>
      <c r="BA33" s="3148">
        <v>161</v>
      </c>
      <c r="BB33" s="3148">
        <v>140</v>
      </c>
      <c r="BC33" s="3148">
        <v>124</v>
      </c>
      <c r="BD33" s="3148">
        <v>158</v>
      </c>
      <c r="BE33" s="3148">
        <v>187</v>
      </c>
      <c r="BF33" s="3148">
        <v>242</v>
      </c>
      <c r="BG33" s="3148">
        <v>199</v>
      </c>
      <c r="BH33" s="3148">
        <v>150</v>
      </c>
      <c r="BI33" s="3148">
        <v>133</v>
      </c>
      <c r="BJ33" s="3148">
        <v>154</v>
      </c>
      <c r="BK33" s="3149">
        <v>156</v>
      </c>
      <c r="BL33" s="3150">
        <v>0</v>
      </c>
      <c r="BM33" s="3151">
        <v>0</v>
      </c>
      <c r="BN33" s="3151">
        <v>0</v>
      </c>
      <c r="BO33" s="3151">
        <v>186</v>
      </c>
      <c r="BP33" s="3151">
        <v>262</v>
      </c>
      <c r="BQ33" s="3151">
        <v>308</v>
      </c>
      <c r="BR33" s="3151">
        <v>470</v>
      </c>
      <c r="BS33" s="3151">
        <v>0</v>
      </c>
      <c r="BT33" s="3152">
        <v>185</v>
      </c>
      <c r="BU33" s="3244">
        <v>287</v>
      </c>
      <c r="BV33" s="3152">
        <v>253</v>
      </c>
      <c r="BW33" s="3223">
        <v>238</v>
      </c>
      <c r="BX33" s="3245">
        <v>285</v>
      </c>
      <c r="BY33" s="3246">
        <v>291</v>
      </c>
      <c r="BZ33" s="3246">
        <v>229</v>
      </c>
      <c r="CA33" s="3246">
        <v>212</v>
      </c>
      <c r="CB33" s="3246">
        <v>0</v>
      </c>
      <c r="CC33" s="3246">
        <v>0</v>
      </c>
      <c r="CD33" s="3246">
        <v>169</v>
      </c>
      <c r="CE33" s="3246">
        <v>1</v>
      </c>
      <c r="CF33" s="3246">
        <v>1</v>
      </c>
      <c r="CG33" s="3246">
        <v>1</v>
      </c>
      <c r="CH33" s="3155">
        <v>350</v>
      </c>
      <c r="CI33" s="3156">
        <v>0</v>
      </c>
      <c r="CJ33" s="3157">
        <v>1</v>
      </c>
      <c r="CK33" s="3158">
        <v>606</v>
      </c>
      <c r="CL33" s="3158">
        <v>1</v>
      </c>
      <c r="CM33" s="3158">
        <v>4</v>
      </c>
      <c r="CN33" s="3158">
        <v>0</v>
      </c>
      <c r="CO33" s="3158">
        <v>0</v>
      </c>
      <c r="CP33" s="3158">
        <v>0</v>
      </c>
      <c r="CQ33" s="3158">
        <v>0</v>
      </c>
      <c r="CR33" s="3158">
        <v>0</v>
      </c>
      <c r="CS33" s="3158">
        <v>0</v>
      </c>
      <c r="CT33" s="3158">
        <v>0</v>
      </c>
      <c r="CU33" s="3159">
        <v>0</v>
      </c>
      <c r="CV33" s="3240">
        <v>0</v>
      </c>
      <c r="CW33" s="3158">
        <v>0</v>
      </c>
      <c r="CX33" s="3241">
        <v>0</v>
      </c>
      <c r="CY33" s="3241">
        <v>0</v>
      </c>
      <c r="CZ33" s="3241">
        <v>0</v>
      </c>
      <c r="DA33" s="3241">
        <v>0</v>
      </c>
      <c r="DB33" s="3241">
        <v>2</v>
      </c>
      <c r="DC33" s="3241">
        <v>2</v>
      </c>
      <c r="DD33" s="3161">
        <v>1</v>
      </c>
      <c r="DE33" s="3161">
        <v>23</v>
      </c>
      <c r="DF33" s="3148"/>
      <c r="DG33" s="3148"/>
      <c r="DH33" s="3247" t="s">
        <v>390</v>
      </c>
      <c r="DI33" s="3248" t="s">
        <v>390</v>
      </c>
      <c r="DJ33" s="3248" t="s">
        <v>390</v>
      </c>
      <c r="DK33" s="3249" t="s">
        <v>390</v>
      </c>
      <c r="DL33" s="3249" t="s">
        <v>390</v>
      </c>
      <c r="DM33" s="3249" t="s">
        <v>390</v>
      </c>
      <c r="DN33" s="3249" t="s">
        <v>390</v>
      </c>
      <c r="DO33" s="3249" t="s">
        <v>390</v>
      </c>
      <c r="DP33" s="3164">
        <v>2</v>
      </c>
      <c r="DQ33" s="3164">
        <v>2</v>
      </c>
      <c r="DR33" s="3164">
        <v>1</v>
      </c>
      <c r="DS33" s="3250" t="s">
        <v>390</v>
      </c>
      <c r="DT33" s="3251" t="s">
        <v>390</v>
      </c>
      <c r="DU33" s="3251" t="s">
        <v>390</v>
      </c>
      <c r="DV33" s="3251" t="s">
        <v>390</v>
      </c>
      <c r="DW33" s="3251" t="s">
        <v>390</v>
      </c>
      <c r="DX33" s="3251" t="s">
        <v>390</v>
      </c>
      <c r="DY33" s="3251" t="s">
        <v>390</v>
      </c>
      <c r="DZ33" s="3252"/>
      <c r="EA33" s="3252"/>
      <c r="EB33" s="3252"/>
      <c r="EC33" s="3252"/>
      <c r="ED33" s="3252"/>
      <c r="EE33" s="3252"/>
      <c r="EF33" s="3251" t="s">
        <v>390</v>
      </c>
      <c r="EG33" s="3251" t="s">
        <v>390</v>
      </c>
      <c r="EH33" s="3251" t="s">
        <v>390</v>
      </c>
      <c r="EI33" s="3251" t="s">
        <v>390</v>
      </c>
      <c r="EJ33" s="3251" t="s">
        <v>390</v>
      </c>
      <c r="EK33" s="3251" t="s">
        <v>390</v>
      </c>
      <c r="EL33" s="3252"/>
      <c r="EM33" s="3252"/>
      <c r="EN33" s="3252"/>
      <c r="EO33" s="3252"/>
      <c r="EP33" s="3252"/>
      <c r="EQ33" s="3252"/>
      <c r="ER33" s="3251" t="s">
        <v>390</v>
      </c>
      <c r="ES33" s="3251" t="s">
        <v>390</v>
      </c>
      <c r="ET33" s="3251" t="s">
        <v>390</v>
      </c>
      <c r="EU33" s="3251" t="s">
        <v>390</v>
      </c>
      <c r="EV33" s="3251" t="s">
        <v>390</v>
      </c>
      <c r="EW33" s="3251" t="s">
        <v>390</v>
      </c>
      <c r="EX33" s="3252"/>
      <c r="EY33" s="3252"/>
      <c r="EZ33" s="3252"/>
      <c r="FA33" s="3252"/>
      <c r="FB33" s="3252"/>
      <c r="FC33" s="3252"/>
      <c r="FD33" s="2711"/>
      <c r="FE33" s="2711"/>
      <c r="FF33" s="2711"/>
      <c r="FG33" s="2711"/>
      <c r="FH33" s="2711"/>
      <c r="FI33" s="2711"/>
      <c r="FJ33" s="2711"/>
      <c r="FK33" s="2711"/>
      <c r="FL33" s="2711"/>
      <c r="FM33" s="2711"/>
      <c r="FN33" s="2711"/>
      <c r="FO33" s="2711"/>
      <c r="FP33" s="2712"/>
      <c r="FQ33" s="2711"/>
      <c r="FR33" s="2711"/>
      <c r="FS33" s="2711"/>
      <c r="FT33" s="2711"/>
      <c r="FU33" s="2711"/>
      <c r="FV33" s="2711"/>
      <c r="FW33" s="2711"/>
      <c r="FX33" s="2711"/>
      <c r="FY33" s="2711"/>
      <c r="FZ33" s="2711"/>
      <c r="GA33" s="2711"/>
      <c r="GB33" s="2599"/>
      <c r="GC33" s="2569"/>
      <c r="GD33" s="2671">
        <v>398</v>
      </c>
      <c r="GE33" s="2672">
        <v>363</v>
      </c>
      <c r="GF33" s="2672">
        <v>335</v>
      </c>
      <c r="GG33" s="2673">
        <v>421</v>
      </c>
      <c r="GH33" s="2674">
        <v>364</v>
      </c>
      <c r="GI33" s="2675">
        <v>429</v>
      </c>
      <c r="GJ33" s="2675">
        <v>624</v>
      </c>
      <c r="GK33" s="2676">
        <v>495</v>
      </c>
      <c r="GL33" s="2677">
        <v>449</v>
      </c>
      <c r="GM33" s="2678">
        <v>353</v>
      </c>
      <c r="GN33" s="2679">
        <v>1034</v>
      </c>
      <c r="GO33" s="2679">
        <v>599</v>
      </c>
      <c r="GP33" s="2680">
        <v>637</v>
      </c>
      <c r="GQ33" s="2681">
        <v>479</v>
      </c>
      <c r="GR33" s="2681">
        <v>444</v>
      </c>
      <c r="GS33" s="2682">
        <v>622.81540857274058</v>
      </c>
      <c r="GT33" s="2683">
        <v>449</v>
      </c>
      <c r="GU33" s="2684">
        <v>469</v>
      </c>
      <c r="GV33" s="2684">
        <v>591</v>
      </c>
      <c r="GW33" s="2685">
        <v>443</v>
      </c>
      <c r="GX33" s="2681">
        <v>0</v>
      </c>
      <c r="GY33" s="2681">
        <v>756</v>
      </c>
      <c r="GZ33" s="2681">
        <v>655</v>
      </c>
      <c r="HA33" s="2681">
        <v>778</v>
      </c>
      <c r="HB33" s="2686">
        <v>805</v>
      </c>
      <c r="HC33" s="2686">
        <v>212</v>
      </c>
      <c r="HD33" s="2686">
        <v>171</v>
      </c>
      <c r="HE33" s="2686">
        <v>351</v>
      </c>
      <c r="HF33" s="2687">
        <v>608</v>
      </c>
      <c r="HG33" s="2687">
        <v>4</v>
      </c>
      <c r="HH33" s="2687">
        <v>0</v>
      </c>
      <c r="HI33" s="2687">
        <v>0</v>
      </c>
      <c r="HJ33" s="2688">
        <v>0</v>
      </c>
      <c r="HK33" s="2688">
        <v>23</v>
      </c>
      <c r="HL33" s="2688">
        <v>27</v>
      </c>
      <c r="HM33" s="2713" t="s">
        <v>390</v>
      </c>
      <c r="HN33" s="2713" t="s">
        <v>390</v>
      </c>
      <c r="HO33" s="2713" t="s">
        <v>390</v>
      </c>
      <c r="HP33" s="2713">
        <v>3</v>
      </c>
      <c r="HQ33" s="2714" t="s">
        <v>390</v>
      </c>
      <c r="HR33" s="2714" t="s">
        <v>390</v>
      </c>
      <c r="HS33" s="2570"/>
      <c r="HT33" s="2569"/>
      <c r="HU33" s="2681"/>
      <c r="HV33" s="2686"/>
      <c r="HW33" s="2686"/>
      <c r="HX33" s="2686"/>
      <c r="HY33" s="2681"/>
      <c r="HZ33" s="2686"/>
      <c r="IA33" s="2686"/>
      <c r="IB33" s="2686"/>
      <c r="IC33" s="2686"/>
      <c r="ID33" s="2686"/>
      <c r="IE33" s="2686"/>
      <c r="IF33" s="2686"/>
      <c r="IG33" s="2686"/>
      <c r="IH33" s="2686"/>
      <c r="II33" s="2686"/>
      <c r="IJ33" s="2686"/>
      <c r="IK33" s="2691">
        <v>1517</v>
      </c>
      <c r="IL33" s="3167">
        <v>1912</v>
      </c>
      <c r="IM33" s="3167">
        <v>2435</v>
      </c>
      <c r="IN33" s="3167">
        <v>2182.8154085727406</v>
      </c>
      <c r="IO33" s="3167">
        <v>1952</v>
      </c>
      <c r="IP33" s="3167">
        <v>2189</v>
      </c>
      <c r="IQ33" s="3167">
        <v>1539</v>
      </c>
      <c r="IR33" s="3167">
        <v>612</v>
      </c>
      <c r="IS33" s="3168">
        <v>28</v>
      </c>
      <c r="IT33" s="3168">
        <f t="shared" si="7"/>
        <v>5</v>
      </c>
      <c r="IU33" s="3169">
        <f t="shared" si="8"/>
        <v>5</v>
      </c>
      <c r="IV33" s="3099"/>
      <c r="IW33" s="3099"/>
      <c r="IX33" s="3099"/>
      <c r="IY33" s="3100"/>
      <c r="IZ33" s="3101"/>
      <c r="JA33" s="3578"/>
      <c r="JC33" s="3099"/>
      <c r="JD33" s="3045"/>
      <c r="JE33" s="3045"/>
      <c r="JF33" s="3045"/>
      <c r="JG33" s="3045"/>
      <c r="JH33" s="2566"/>
      <c r="JI33" s="3076"/>
      <c r="JJ33" s="2566"/>
      <c r="JK33" s="2566"/>
      <c r="JL33" s="2566"/>
      <c r="JM33" s="2566"/>
      <c r="JN33" s="2566"/>
      <c r="JO33" s="2566"/>
      <c r="JP33" s="2566"/>
      <c r="JQ33" s="2566"/>
      <c r="JS33" s="3045"/>
      <c r="JT33" s="3045"/>
      <c r="JU33" s="3045"/>
      <c r="JV33" s="3045"/>
      <c r="JW33" s="3045"/>
      <c r="JX33" s="3045"/>
      <c r="JY33" s="3045"/>
      <c r="JZ33" s="3045"/>
      <c r="KA33" s="3045"/>
      <c r="KB33" s="3045"/>
      <c r="KC33" s="3045"/>
      <c r="KD33" s="3045"/>
      <c r="KE33" s="3045"/>
      <c r="KF33" s="3045"/>
      <c r="KG33" s="3045"/>
      <c r="KH33" s="3045"/>
      <c r="KI33" s="3045"/>
      <c r="KJ33" s="3045"/>
      <c r="KK33" s="3045"/>
      <c r="KL33" s="3045"/>
      <c r="KM33" s="3045"/>
      <c r="KN33" s="3045"/>
      <c r="KO33" s="3045"/>
    </row>
    <row r="34" spans="1:301" ht="21.9" hidden="1" customHeight="1" thickBot="1">
      <c r="A34" s="2566"/>
      <c r="B34" s="3045"/>
      <c r="C34" s="3136" t="s">
        <v>52</v>
      </c>
      <c r="D34" s="3170">
        <v>29447</v>
      </c>
      <c r="E34" s="3171">
        <v>29249</v>
      </c>
      <c r="F34" s="3171">
        <v>32536</v>
      </c>
      <c r="G34" s="3171">
        <v>26929</v>
      </c>
      <c r="H34" s="3171">
        <v>28526</v>
      </c>
      <c r="I34" s="3171">
        <v>41105</v>
      </c>
      <c r="J34" s="3171">
        <v>49933</v>
      </c>
      <c r="K34" s="3171">
        <v>42244</v>
      </c>
      <c r="L34" s="3171">
        <v>31407</v>
      </c>
      <c r="M34" s="3171">
        <v>33891</v>
      </c>
      <c r="N34" s="3171">
        <v>35806</v>
      </c>
      <c r="O34" s="3172">
        <v>36780</v>
      </c>
      <c r="P34" s="3173">
        <v>34991</v>
      </c>
      <c r="Q34" s="3174">
        <v>46490</v>
      </c>
      <c r="R34" s="3174">
        <v>36805</v>
      </c>
      <c r="S34" s="3174">
        <v>31105</v>
      </c>
      <c r="T34" s="3174">
        <v>35598</v>
      </c>
      <c r="U34" s="3174">
        <v>45584</v>
      </c>
      <c r="V34" s="3174">
        <v>50484</v>
      </c>
      <c r="W34" s="3174">
        <v>43576</v>
      </c>
      <c r="X34" s="3174">
        <v>34318</v>
      </c>
      <c r="Y34" s="3174">
        <v>36977</v>
      </c>
      <c r="Z34" s="3174">
        <v>38290</v>
      </c>
      <c r="AA34" s="3175">
        <v>37281</v>
      </c>
      <c r="AB34" s="3143">
        <v>35904</v>
      </c>
      <c r="AC34" s="3144">
        <v>32995</v>
      </c>
      <c r="AD34" s="3144">
        <v>34242</v>
      </c>
      <c r="AE34" s="3144">
        <v>33161</v>
      </c>
      <c r="AF34" s="3144">
        <v>32773</v>
      </c>
      <c r="AG34" s="3144">
        <v>46796</v>
      </c>
      <c r="AH34" s="3144">
        <v>50069</v>
      </c>
      <c r="AI34" s="3144">
        <v>44378</v>
      </c>
      <c r="AJ34" s="3144">
        <v>33494</v>
      </c>
      <c r="AK34" s="3144">
        <v>35959</v>
      </c>
      <c r="AL34" s="3144">
        <v>38401</v>
      </c>
      <c r="AM34" s="3144">
        <v>43693</v>
      </c>
      <c r="AN34" s="3145">
        <v>38603</v>
      </c>
      <c r="AO34" s="3145">
        <v>39843</v>
      </c>
      <c r="AP34" s="3145">
        <v>38029</v>
      </c>
      <c r="AQ34" s="3145">
        <v>31598</v>
      </c>
      <c r="AR34" s="3145">
        <v>37116</v>
      </c>
      <c r="AS34" s="3145">
        <v>46093</v>
      </c>
      <c r="AT34" s="3145">
        <v>49766</v>
      </c>
      <c r="AU34" s="3145">
        <v>42481</v>
      </c>
      <c r="AV34" s="3145">
        <v>33003</v>
      </c>
      <c r="AW34" s="3145">
        <v>38298</v>
      </c>
      <c r="AX34" s="3145">
        <v>38171</v>
      </c>
      <c r="AY34" s="3146">
        <v>41220</v>
      </c>
      <c r="AZ34" s="3176">
        <v>37463</v>
      </c>
      <c r="BA34" s="3177">
        <v>35978</v>
      </c>
      <c r="BB34" s="3177">
        <v>39415</v>
      </c>
      <c r="BC34" s="3177">
        <v>35949</v>
      </c>
      <c r="BD34" s="3177">
        <v>38023</v>
      </c>
      <c r="BE34" s="3177">
        <v>47844</v>
      </c>
      <c r="BF34" s="3177">
        <v>51152</v>
      </c>
      <c r="BG34" s="3177">
        <v>43036</v>
      </c>
      <c r="BH34" s="3177">
        <v>34628</v>
      </c>
      <c r="BI34" s="3177">
        <v>38582</v>
      </c>
      <c r="BJ34" s="3177">
        <v>41073</v>
      </c>
      <c r="BK34" s="3178">
        <v>44235</v>
      </c>
      <c r="BL34" s="3179">
        <v>37773</v>
      </c>
      <c r="BM34" s="3180">
        <v>35654</v>
      </c>
      <c r="BN34" s="3180">
        <v>40663</v>
      </c>
      <c r="BO34" s="3180">
        <v>36524</v>
      </c>
      <c r="BP34" s="3180">
        <v>40720</v>
      </c>
      <c r="BQ34" s="3180">
        <v>54166</v>
      </c>
      <c r="BR34" s="3180">
        <v>56168</v>
      </c>
      <c r="BS34" s="3180">
        <v>46212</v>
      </c>
      <c r="BT34" s="3181">
        <v>39747</v>
      </c>
      <c r="BU34" s="3181">
        <v>44864</v>
      </c>
      <c r="BV34" s="3181">
        <v>46422</v>
      </c>
      <c r="BW34" s="3225">
        <v>54545</v>
      </c>
      <c r="BX34" s="3226">
        <v>46137</v>
      </c>
      <c r="BY34" s="3227">
        <v>43174</v>
      </c>
      <c r="BZ34" s="3227">
        <v>49027</v>
      </c>
      <c r="CA34" s="3227">
        <v>41634</v>
      </c>
      <c r="CB34" s="3227">
        <v>48103</v>
      </c>
      <c r="CC34" s="3227">
        <v>61054</v>
      </c>
      <c r="CD34" s="3227">
        <v>64119</v>
      </c>
      <c r="CE34" s="3227">
        <v>52709</v>
      </c>
      <c r="CF34" s="3227">
        <v>49386</v>
      </c>
      <c r="CG34" s="3227">
        <v>52967</v>
      </c>
      <c r="CH34" s="3227">
        <v>56261</v>
      </c>
      <c r="CI34" s="3185">
        <v>64359</v>
      </c>
      <c r="CJ34" s="3186">
        <v>51688</v>
      </c>
      <c r="CK34" s="3187">
        <v>53622</v>
      </c>
      <c r="CL34" s="3187">
        <v>51748</v>
      </c>
      <c r="CM34" s="3187">
        <v>49570</v>
      </c>
      <c r="CN34" s="3187">
        <v>52174</v>
      </c>
      <c r="CO34" s="3187">
        <v>58795</v>
      </c>
      <c r="CP34" s="3187">
        <v>71099</v>
      </c>
      <c r="CQ34" s="3187">
        <v>57790</v>
      </c>
      <c r="CR34" s="3187">
        <v>55854</v>
      </c>
      <c r="CS34" s="3187">
        <v>59469</v>
      </c>
      <c r="CT34" s="3187">
        <v>63257</v>
      </c>
      <c r="CU34" s="3188">
        <v>77949</v>
      </c>
      <c r="CV34" s="3189">
        <v>58224</v>
      </c>
      <c r="CW34" s="3190">
        <v>53321</v>
      </c>
      <c r="CX34" s="3191">
        <v>59393</v>
      </c>
      <c r="CY34" s="3191">
        <v>53854</v>
      </c>
      <c r="CZ34" s="3191">
        <v>56638</v>
      </c>
      <c r="DA34" s="3191">
        <v>67138</v>
      </c>
      <c r="DB34" s="3191">
        <v>73006</v>
      </c>
      <c r="DC34" s="3191">
        <v>52994</v>
      </c>
      <c r="DD34" s="3192">
        <v>51643</v>
      </c>
      <c r="DE34" s="3192">
        <v>56449</v>
      </c>
      <c r="DF34" s="3148"/>
      <c r="DG34" s="3148"/>
      <c r="DH34" s="3193">
        <v>52833</v>
      </c>
      <c r="DI34" s="3194">
        <v>51438</v>
      </c>
      <c r="DJ34" s="3194">
        <v>54420</v>
      </c>
      <c r="DK34" s="3195">
        <v>40983</v>
      </c>
      <c r="DL34" s="3164">
        <v>46162</v>
      </c>
      <c r="DM34" s="3164">
        <v>61277</v>
      </c>
      <c r="DN34" s="3164">
        <v>66352</v>
      </c>
      <c r="DO34" s="3164">
        <v>47805</v>
      </c>
      <c r="DP34" s="3164">
        <v>40169</v>
      </c>
      <c r="DQ34" s="3164">
        <v>53831</v>
      </c>
      <c r="DR34" s="3164">
        <v>48311</v>
      </c>
      <c r="DS34" s="3196">
        <v>64045</v>
      </c>
      <c r="DT34" s="3196">
        <v>50614</v>
      </c>
      <c r="DU34" s="3196">
        <v>47432</v>
      </c>
      <c r="DV34" s="3196">
        <v>53021</v>
      </c>
      <c r="DW34" s="3196">
        <v>50208</v>
      </c>
      <c r="DX34" s="3196">
        <v>47035</v>
      </c>
      <c r="DY34" s="3251">
        <v>65872</v>
      </c>
      <c r="DZ34" s="3252"/>
      <c r="EA34" s="3252"/>
      <c r="EB34" s="3252"/>
      <c r="EC34" s="3252"/>
      <c r="ED34" s="3252"/>
      <c r="EE34" s="3252"/>
      <c r="EF34" s="3196">
        <v>50614</v>
      </c>
      <c r="EG34" s="3196">
        <v>47432</v>
      </c>
      <c r="EH34" s="3196">
        <v>53021</v>
      </c>
      <c r="EI34" s="3196">
        <v>50208</v>
      </c>
      <c r="EJ34" s="3196">
        <v>47035</v>
      </c>
      <c r="EK34" s="3251">
        <v>65872</v>
      </c>
      <c r="EL34" s="3252"/>
      <c r="EM34" s="3252"/>
      <c r="EN34" s="3252"/>
      <c r="EO34" s="3252"/>
      <c r="EP34" s="3252"/>
      <c r="EQ34" s="3252"/>
      <c r="ER34" s="3196">
        <v>50614</v>
      </c>
      <c r="ES34" s="3196">
        <v>47432</v>
      </c>
      <c r="ET34" s="3196">
        <v>53021</v>
      </c>
      <c r="EU34" s="3196">
        <v>50208</v>
      </c>
      <c r="EV34" s="3196">
        <v>47035</v>
      </c>
      <c r="EW34" s="3251">
        <v>65872</v>
      </c>
      <c r="EX34" s="3252"/>
      <c r="EY34" s="3252"/>
      <c r="EZ34" s="3252"/>
      <c r="FA34" s="3252"/>
      <c r="FB34" s="3252"/>
      <c r="FC34" s="3252"/>
      <c r="FD34" s="2711"/>
      <c r="FE34" s="2711"/>
      <c r="FF34" s="2711"/>
      <c r="FG34" s="2711"/>
      <c r="FH34" s="2711"/>
      <c r="FI34" s="2711"/>
      <c r="FJ34" s="2711"/>
      <c r="FK34" s="2711"/>
      <c r="FL34" s="2711"/>
      <c r="FM34" s="2711"/>
      <c r="FN34" s="2711"/>
      <c r="FO34" s="2711"/>
      <c r="FP34" s="2712"/>
      <c r="FQ34" s="2711"/>
      <c r="FR34" s="2711"/>
      <c r="FS34" s="2711"/>
      <c r="FT34" s="2711"/>
      <c r="FU34" s="2711"/>
      <c r="FV34" s="2711"/>
      <c r="FW34" s="2711"/>
      <c r="FX34" s="2711"/>
      <c r="FY34" s="2711"/>
      <c r="FZ34" s="2711"/>
      <c r="GA34" s="2711"/>
      <c r="GB34" s="2599"/>
      <c r="GC34" s="2569"/>
      <c r="GD34" s="2692">
        <v>91232</v>
      </c>
      <c r="GE34" s="2693">
        <v>96560</v>
      </c>
      <c r="GF34" s="2693">
        <v>123584</v>
      </c>
      <c r="GG34" s="2694">
        <v>106477</v>
      </c>
      <c r="GH34" s="2695">
        <v>118286</v>
      </c>
      <c r="GI34" s="2696">
        <v>112287</v>
      </c>
      <c r="GJ34" s="2696">
        <v>128378</v>
      </c>
      <c r="GK34" s="2697">
        <v>112548</v>
      </c>
      <c r="GL34" s="2698">
        <v>103141</v>
      </c>
      <c r="GM34" s="2699">
        <v>112730</v>
      </c>
      <c r="GN34" s="2699">
        <v>127941</v>
      </c>
      <c r="GO34" s="2699">
        <v>118053</v>
      </c>
      <c r="GP34" s="2700">
        <v>116475</v>
      </c>
      <c r="GQ34" s="2701">
        <v>114807</v>
      </c>
      <c r="GR34" s="2701">
        <v>125250</v>
      </c>
      <c r="GS34" s="2709">
        <v>117689</v>
      </c>
      <c r="GT34" s="2702">
        <v>112856</v>
      </c>
      <c r="GU34" s="2703">
        <v>121816</v>
      </c>
      <c r="GV34" s="2703">
        <v>128816</v>
      </c>
      <c r="GW34" s="2704">
        <v>123890</v>
      </c>
      <c r="GX34" s="2681">
        <v>114090</v>
      </c>
      <c r="GY34" s="2681">
        <v>131410</v>
      </c>
      <c r="GZ34" s="2681">
        <v>142127</v>
      </c>
      <c r="HA34" s="2681">
        <v>145831</v>
      </c>
      <c r="HB34" s="2686">
        <v>138338</v>
      </c>
      <c r="HC34" s="2686">
        <v>150791</v>
      </c>
      <c r="HD34" s="2686">
        <v>166214</v>
      </c>
      <c r="HE34" s="2686">
        <v>173587</v>
      </c>
      <c r="HF34" s="2687">
        <v>157058</v>
      </c>
      <c r="HG34" s="2687">
        <v>160539</v>
      </c>
      <c r="HH34" s="2687">
        <v>188358</v>
      </c>
      <c r="HI34" s="2687">
        <v>200675</v>
      </c>
      <c r="HJ34" s="2688">
        <v>170938</v>
      </c>
      <c r="HK34" s="2688">
        <v>166941</v>
      </c>
      <c r="HL34" s="2688">
        <v>182449</v>
      </c>
      <c r="HM34" s="2689">
        <f>+DH34+DI34+DJ34</f>
        <v>158691</v>
      </c>
      <c r="HN34" s="2689">
        <f>+DM34+DL34+DK34</f>
        <v>148422</v>
      </c>
      <c r="HO34" s="2689">
        <f>+DP34+DO34+DN34</f>
        <v>154326</v>
      </c>
      <c r="HP34" s="2689">
        <f>+DQ34+DR34+DS34</f>
        <v>166187</v>
      </c>
      <c r="HQ34" s="2690">
        <f>+DT34+DU34+DV34</f>
        <v>151067</v>
      </c>
      <c r="HR34" s="2690">
        <f>+DW34+DX34+DY34</f>
        <v>163115</v>
      </c>
      <c r="HS34" s="2570"/>
      <c r="HT34" s="2569"/>
      <c r="HU34" s="2681"/>
      <c r="HV34" s="2686"/>
      <c r="HW34" s="2686"/>
      <c r="HX34" s="2686"/>
      <c r="HY34" s="2681"/>
      <c r="HZ34" s="2686"/>
      <c r="IA34" s="2686"/>
      <c r="IB34" s="2686"/>
      <c r="IC34" s="2686"/>
      <c r="ID34" s="2686"/>
      <c r="IE34" s="2686"/>
      <c r="IF34" s="2686"/>
      <c r="IG34" s="2686"/>
      <c r="IH34" s="2686"/>
      <c r="II34" s="2686"/>
      <c r="IJ34" s="2686"/>
      <c r="IK34" s="2705">
        <v>417853</v>
      </c>
      <c r="IL34" s="3199">
        <v>471499</v>
      </c>
      <c r="IM34" s="3199">
        <v>461865</v>
      </c>
      <c r="IN34" s="3199">
        <v>474221</v>
      </c>
      <c r="IO34" s="3199">
        <v>487378</v>
      </c>
      <c r="IP34" s="3199">
        <v>533458</v>
      </c>
      <c r="IQ34" s="3199">
        <v>628930</v>
      </c>
      <c r="IR34" s="3199">
        <v>703015</v>
      </c>
      <c r="IS34" s="3168">
        <v>723866</v>
      </c>
      <c r="IT34" s="3168">
        <f t="shared" si="7"/>
        <v>625407</v>
      </c>
      <c r="IU34" s="3169">
        <f t="shared" si="8"/>
        <v>568343</v>
      </c>
      <c r="IV34" s="3099"/>
      <c r="IW34" s="3099"/>
      <c r="IX34" s="3099"/>
      <c r="IY34" s="3100"/>
      <c r="IZ34" s="3101"/>
      <c r="JA34" s="3578"/>
      <c r="JC34" s="3099"/>
      <c r="JD34" s="3045"/>
      <c r="JE34" s="3045"/>
      <c r="JF34" s="3045"/>
      <c r="JG34" s="3045"/>
      <c r="JH34" s="2566"/>
      <c r="JI34" s="3076"/>
      <c r="JJ34" s="2566"/>
      <c r="JK34" s="2566"/>
      <c r="JL34" s="2566"/>
      <c r="JM34" s="2566"/>
      <c r="JN34" s="2566"/>
      <c r="JO34" s="2566"/>
      <c r="JP34" s="2566"/>
      <c r="JQ34" s="2566"/>
      <c r="JS34" s="3045"/>
      <c r="JT34" s="3045"/>
      <c r="JU34" s="3045"/>
      <c r="JV34" s="3045"/>
      <c r="JW34" s="3045"/>
      <c r="JX34" s="3045"/>
      <c r="JY34" s="3045"/>
      <c r="JZ34" s="3045"/>
      <c r="KA34" s="3045"/>
      <c r="KB34" s="3045"/>
      <c r="KC34" s="3045"/>
      <c r="KD34" s="3045"/>
      <c r="KE34" s="3045"/>
      <c r="KF34" s="3045"/>
      <c r="KG34" s="3045"/>
      <c r="KH34" s="3045"/>
      <c r="KI34" s="3045"/>
      <c r="KJ34" s="3045"/>
      <c r="KK34" s="3045"/>
      <c r="KL34" s="3045"/>
      <c r="KM34" s="3045"/>
      <c r="KN34" s="3045"/>
      <c r="KO34" s="3045"/>
    </row>
    <row r="35" spans="1:301" ht="18.75" hidden="1" customHeight="1">
      <c r="A35" s="2566"/>
      <c r="B35" s="3253"/>
      <c r="C35" s="3254"/>
      <c r="D35" s="3255"/>
      <c r="E35" s="3255"/>
      <c r="F35" s="3255"/>
      <c r="G35" s="3255"/>
      <c r="H35" s="3255"/>
      <c r="I35" s="3255"/>
      <c r="J35" s="3255"/>
      <c r="K35" s="3255"/>
      <c r="L35" s="3255"/>
      <c r="M35" s="3255"/>
      <c r="N35" s="3255"/>
      <c r="O35" s="3255"/>
      <c r="P35" s="3255"/>
      <c r="Q35" s="3255"/>
      <c r="R35" s="3255"/>
      <c r="S35" s="3255"/>
      <c r="T35" s="3255"/>
      <c r="U35" s="3255"/>
      <c r="V35" s="3255"/>
      <c r="W35" s="3255"/>
      <c r="X35" s="3255"/>
      <c r="Y35" s="3255"/>
      <c r="Z35" s="3255"/>
      <c r="AA35" s="3255"/>
      <c r="AB35" s="3230">
        <v>35904</v>
      </c>
      <c r="AC35" s="3230">
        <v>32995</v>
      </c>
      <c r="AD35" s="3230">
        <v>34242</v>
      </c>
      <c r="AE35" s="3230">
        <v>33161</v>
      </c>
      <c r="AF35" s="3256"/>
      <c r="AG35" s="3230">
        <v>46796</v>
      </c>
      <c r="AH35" s="3230">
        <v>50069</v>
      </c>
      <c r="AI35" s="3230">
        <v>44378</v>
      </c>
      <c r="AJ35" s="3230">
        <v>33494</v>
      </c>
      <c r="AK35" s="3230">
        <v>35959</v>
      </c>
      <c r="AL35" s="3230">
        <v>38401</v>
      </c>
      <c r="AM35" s="3230">
        <v>43693</v>
      </c>
      <c r="AN35" s="3230">
        <v>429092</v>
      </c>
      <c r="AO35" s="3255"/>
      <c r="AP35" s="3255"/>
      <c r="AQ35" s="3255"/>
      <c r="AR35" s="3255"/>
      <c r="AS35" s="3255"/>
      <c r="AT35" s="3255"/>
      <c r="AU35" s="3255"/>
      <c r="AV35" s="3255"/>
      <c r="AW35" s="3255"/>
      <c r="AX35" s="3255"/>
      <c r="AY35" s="3255"/>
      <c r="AZ35" s="3255">
        <v>0</v>
      </c>
      <c r="BA35" s="3255">
        <v>0</v>
      </c>
      <c r="BB35" s="3255">
        <v>0</v>
      </c>
      <c r="BC35" s="3255"/>
      <c r="BD35" s="3255"/>
      <c r="BE35" s="3255"/>
      <c r="BF35" s="3255"/>
      <c r="BG35" s="3255"/>
      <c r="BH35" s="3255"/>
      <c r="BI35" s="3255"/>
      <c r="BJ35" s="3255"/>
      <c r="BK35" s="3255"/>
      <c r="BL35" s="3230"/>
      <c r="BM35" s="3230"/>
      <c r="BN35" s="3230"/>
      <c r="BO35" s="3230"/>
      <c r="BP35" s="3230"/>
      <c r="BQ35" s="3230"/>
      <c r="BR35" s="3257"/>
      <c r="BS35" s="3230"/>
      <c r="BT35" s="3255"/>
      <c r="BU35" s="3255">
        <v>0</v>
      </c>
      <c r="BV35" s="3255">
        <v>0</v>
      </c>
      <c r="BW35" s="3230">
        <v>0</v>
      </c>
      <c r="BX35" s="3255">
        <v>0</v>
      </c>
      <c r="BY35" s="3255">
        <v>0</v>
      </c>
      <c r="BZ35" s="3255">
        <v>0</v>
      </c>
      <c r="CA35" s="3255">
        <v>0</v>
      </c>
      <c r="CB35" s="3255">
        <v>0</v>
      </c>
      <c r="CC35" s="3255">
        <v>0</v>
      </c>
      <c r="CD35" s="3255">
        <v>0</v>
      </c>
      <c r="CE35" s="3255">
        <v>0</v>
      </c>
      <c r="CF35" s="3255">
        <v>0</v>
      </c>
      <c r="CG35" s="3255">
        <v>0</v>
      </c>
      <c r="CH35" s="3255"/>
      <c r="CI35" s="3255"/>
      <c r="CJ35" s="3255"/>
      <c r="CK35" s="3255"/>
      <c r="CL35" s="3255">
        <v>51748</v>
      </c>
      <c r="CM35" s="3255"/>
      <c r="CN35" s="3255"/>
      <c r="CO35" s="3255"/>
      <c r="CP35" s="3255"/>
      <c r="CQ35" s="3255"/>
      <c r="CR35" s="3255"/>
      <c r="CS35" s="3255"/>
      <c r="CT35" s="3255"/>
      <c r="CU35" s="3255"/>
      <c r="CV35" s="3255">
        <v>0</v>
      </c>
      <c r="CW35" s="3255"/>
      <c r="CX35" s="3255"/>
      <c r="CY35" s="3255"/>
      <c r="CZ35" s="3255"/>
      <c r="DA35" s="3255"/>
      <c r="DB35" s="3255">
        <v>73006</v>
      </c>
      <c r="DC35" s="3255">
        <v>73006</v>
      </c>
      <c r="DD35" s="3255"/>
      <c r="DE35" s="3230"/>
      <c r="DF35" s="3230"/>
      <c r="DG35" s="3230"/>
      <c r="DH35" s="3258"/>
      <c r="DI35" s="3258"/>
      <c r="DJ35" s="3258"/>
      <c r="DK35" s="3258"/>
      <c r="DL35" s="3258"/>
      <c r="DM35" s="3258"/>
      <c r="DN35" s="3258"/>
      <c r="DO35" s="3258"/>
      <c r="DP35" s="3258"/>
      <c r="DQ35" s="3258"/>
      <c r="DR35" s="3258"/>
      <c r="DS35" s="3258"/>
      <c r="DT35" s="3258"/>
      <c r="DU35" s="3258"/>
      <c r="DV35" s="3258"/>
      <c r="DW35" s="3258"/>
      <c r="DX35" s="3258"/>
      <c r="DY35" s="3258"/>
      <c r="DZ35" s="3258"/>
      <c r="EA35" s="3258"/>
      <c r="EB35" s="3258"/>
      <c r="EC35" s="3258"/>
      <c r="ED35" s="3258"/>
      <c r="EE35" s="3258"/>
      <c r="EF35" s="3258"/>
      <c r="EG35" s="3258"/>
      <c r="EH35" s="3258"/>
      <c r="EI35" s="3258"/>
      <c r="EJ35" s="3258"/>
      <c r="EK35" s="3258"/>
      <c r="EL35" s="3258"/>
      <c r="EM35" s="3258"/>
      <c r="EN35" s="3258"/>
      <c r="EO35" s="3258"/>
      <c r="EP35" s="3258"/>
      <c r="EQ35" s="3258"/>
      <c r="ER35" s="3258"/>
      <c r="ES35" s="3258"/>
      <c r="ET35" s="3258"/>
      <c r="EU35" s="3258"/>
      <c r="EV35" s="3258"/>
      <c r="EW35" s="3258"/>
      <c r="EX35" s="3258"/>
      <c r="EY35" s="3258"/>
      <c r="EZ35" s="3258"/>
      <c r="FA35" s="3258"/>
      <c r="FB35" s="3258"/>
      <c r="FC35" s="3258"/>
      <c r="FD35" s="2602"/>
      <c r="FE35" s="2602"/>
      <c r="FF35" s="2602"/>
      <c r="FG35" s="2602"/>
      <c r="FH35" s="2602"/>
      <c r="FI35" s="2602"/>
      <c r="FJ35" s="2602"/>
      <c r="FK35" s="2602"/>
      <c r="FL35" s="2602"/>
      <c r="FM35" s="2602"/>
      <c r="FN35" s="2602"/>
      <c r="FO35" s="2602"/>
      <c r="FP35" s="2603"/>
      <c r="FQ35" s="2602"/>
      <c r="FR35" s="2602"/>
      <c r="FS35" s="2602"/>
      <c r="FT35" s="2602"/>
      <c r="FU35" s="2602"/>
      <c r="FV35" s="2602"/>
      <c r="FW35" s="2602"/>
      <c r="FX35" s="2602"/>
      <c r="FY35" s="2602"/>
      <c r="FZ35" s="2602"/>
      <c r="GA35" s="2602"/>
      <c r="GB35" s="2595"/>
      <c r="GC35" s="2569"/>
      <c r="GD35" s="2576"/>
      <c r="GE35" s="2576"/>
      <c r="GF35" s="2576"/>
      <c r="GG35" s="2576"/>
      <c r="GH35" s="2576"/>
      <c r="GI35" s="2576"/>
      <c r="GJ35" s="2576"/>
      <c r="GK35" s="2576"/>
      <c r="GL35" s="2576"/>
      <c r="GM35" s="2573"/>
      <c r="GN35" s="2576"/>
      <c r="GO35" s="2576"/>
      <c r="GP35" s="2576"/>
      <c r="GQ35" s="2576"/>
      <c r="GR35" s="2576"/>
      <c r="GS35" s="2576"/>
      <c r="GT35" s="2573"/>
      <c r="GU35" s="2573"/>
      <c r="GV35" s="2573"/>
      <c r="GW35" s="2573"/>
      <c r="GX35" s="2576"/>
      <c r="GY35" s="2576"/>
      <c r="GZ35" s="2576"/>
      <c r="HA35" s="2576"/>
      <c r="HB35" s="2576"/>
      <c r="HC35" s="2576"/>
      <c r="HD35" s="2576"/>
      <c r="HE35" s="2576"/>
      <c r="HF35" s="2576"/>
      <c r="HG35" s="2576"/>
      <c r="HH35" s="2576"/>
      <c r="HI35" s="2576"/>
      <c r="HJ35" s="2576"/>
      <c r="HK35" s="2576"/>
      <c r="HL35" s="2576"/>
      <c r="HM35" s="2605"/>
      <c r="HN35" s="2605"/>
      <c r="HO35" s="2605"/>
      <c r="HP35" s="2605"/>
      <c r="HQ35" s="2605"/>
      <c r="HR35" s="2605"/>
      <c r="HS35" s="2605"/>
      <c r="HT35" s="2576"/>
      <c r="HU35" s="2576"/>
      <c r="HV35" s="2576"/>
      <c r="HW35" s="2576"/>
      <c r="HX35" s="2576"/>
      <c r="HY35" s="2576"/>
      <c r="HZ35" s="2576"/>
      <c r="IA35" s="2576"/>
      <c r="IB35" s="2576"/>
      <c r="IC35" s="2576"/>
      <c r="ID35" s="2576"/>
      <c r="IE35" s="2576"/>
      <c r="IF35" s="2576"/>
      <c r="IG35" s="2576"/>
      <c r="IH35" s="2576"/>
      <c r="II35" s="2576"/>
      <c r="IJ35" s="2576"/>
      <c r="IK35" s="2604"/>
      <c r="IL35" s="3212"/>
      <c r="IM35" s="3212"/>
      <c r="IN35" s="3212"/>
      <c r="IO35" s="3212"/>
      <c r="IP35" s="3212"/>
      <c r="IQ35" s="3212"/>
      <c r="IR35" s="3212"/>
      <c r="IS35" s="3212"/>
      <c r="IT35" s="3212"/>
      <c r="IU35" s="3213"/>
      <c r="IV35" s="3259"/>
      <c r="IW35" s="3259"/>
      <c r="IX35" s="3259"/>
      <c r="IY35" s="3260"/>
      <c r="IZ35" s="3261"/>
      <c r="JA35" s="3578"/>
      <c r="JC35" s="3259"/>
      <c r="JD35" s="2566"/>
      <c r="JE35" s="2566"/>
      <c r="JF35" s="2566"/>
      <c r="JG35" s="2566"/>
      <c r="JH35" s="2566"/>
      <c r="JI35" s="3076"/>
      <c r="JJ35" s="2566"/>
      <c r="JK35" s="2566"/>
      <c r="JL35" s="2566"/>
      <c r="JM35" s="2566"/>
      <c r="JN35" s="2566"/>
      <c r="JO35" s="2566"/>
      <c r="JP35" s="2566"/>
      <c r="JQ35" s="2566"/>
      <c r="JS35" s="2566"/>
      <c r="JT35" s="2566"/>
      <c r="JU35" s="2566"/>
      <c r="JV35" s="2566"/>
      <c r="JW35" s="2566"/>
      <c r="JX35" s="2566"/>
      <c r="JY35" s="2566"/>
      <c r="JZ35" s="2566"/>
      <c r="KA35" s="2566"/>
      <c r="KB35" s="2566"/>
      <c r="KC35" s="2566"/>
      <c r="KD35" s="2566"/>
      <c r="KE35" s="2566"/>
      <c r="KF35" s="2566"/>
      <c r="KG35" s="2566"/>
      <c r="KH35" s="2566"/>
      <c r="KI35" s="2566"/>
      <c r="KJ35" s="2566"/>
      <c r="KK35" s="2566"/>
      <c r="KL35" s="2566"/>
      <c r="KM35" s="2566"/>
      <c r="KN35" s="2566"/>
      <c r="KO35" s="2566"/>
    </row>
    <row r="36" spans="1:301" ht="19.5" hidden="1" customHeight="1" thickBot="1">
      <c r="A36" s="2566"/>
      <c r="B36" s="2566"/>
      <c r="C36" s="3200"/>
      <c r="D36" s="2568"/>
      <c r="E36" s="2568"/>
      <c r="F36" s="2568"/>
      <c r="G36" s="2568"/>
      <c r="H36" s="2568"/>
      <c r="I36" s="2568"/>
      <c r="J36" s="2568"/>
      <c r="K36" s="2568"/>
      <c r="L36" s="2568"/>
      <c r="M36" s="2568"/>
      <c r="N36" s="2568"/>
      <c r="O36" s="3262"/>
      <c r="P36" s="3263"/>
      <c r="Q36" s="3229"/>
      <c r="R36" s="3229"/>
      <c r="S36" s="3229"/>
      <c r="T36" s="3229"/>
      <c r="U36" s="3229"/>
      <c r="V36" s="3229"/>
      <c r="W36" s="3229"/>
      <c r="X36" s="3229"/>
      <c r="Y36" s="3264"/>
      <c r="Z36" s="3264"/>
      <c r="AA36" s="3264"/>
      <c r="AB36" s="3229">
        <v>0</v>
      </c>
      <c r="AC36" s="3229">
        <v>0</v>
      </c>
      <c r="AD36" s="3229">
        <v>0</v>
      </c>
      <c r="AE36" s="3229">
        <v>0</v>
      </c>
      <c r="AF36" s="3229">
        <v>32773</v>
      </c>
      <c r="AG36" s="3229">
        <v>0</v>
      </c>
      <c r="AH36" s="3229">
        <v>0</v>
      </c>
      <c r="AI36" s="3229">
        <v>0</v>
      </c>
      <c r="AJ36" s="3229">
        <v>0</v>
      </c>
      <c r="AK36" s="3229">
        <v>0</v>
      </c>
      <c r="AL36" s="3229">
        <v>0</v>
      </c>
      <c r="AM36" s="3229">
        <v>0</v>
      </c>
      <c r="AN36" s="3229">
        <v>-390489</v>
      </c>
      <c r="AO36" s="3264"/>
      <c r="AP36" s="3264"/>
      <c r="AQ36" s="3264"/>
      <c r="AR36" s="3264"/>
      <c r="AS36" s="3264"/>
      <c r="AT36" s="3229"/>
      <c r="AU36" s="3229"/>
      <c r="AV36" s="3229"/>
      <c r="AW36" s="3229"/>
      <c r="AX36" s="3264"/>
      <c r="AY36" s="3264"/>
      <c r="AZ36" s="2568"/>
      <c r="BA36" s="2568"/>
      <c r="BB36" s="2568"/>
      <c r="BC36" s="2568"/>
      <c r="BD36" s="2568"/>
      <c r="BE36" s="2568"/>
      <c r="BF36" s="2568"/>
      <c r="BG36" s="2568"/>
      <c r="BH36" s="2568"/>
      <c r="BI36" s="2568"/>
      <c r="BJ36" s="2568"/>
      <c r="BK36" s="2568"/>
      <c r="BL36" s="2573"/>
      <c r="BM36" s="2573"/>
      <c r="BN36" s="2573"/>
      <c r="BO36" s="2573"/>
      <c r="BP36" s="2573"/>
      <c r="BQ36" s="2573"/>
      <c r="BR36" s="2573"/>
      <c r="BS36" s="2573"/>
      <c r="BT36" s="2573"/>
      <c r="BU36" s="2573"/>
      <c r="BV36" s="2573"/>
      <c r="BW36" s="2573"/>
      <c r="BX36" s="2573"/>
      <c r="BY36" s="2573"/>
      <c r="BZ36" s="2573"/>
      <c r="CA36" s="2573"/>
      <c r="CB36" s="2573"/>
      <c r="CC36" s="2573"/>
      <c r="CD36" s="2573"/>
      <c r="CE36" s="2573"/>
      <c r="CF36" s="2573"/>
      <c r="CG36" s="2573"/>
      <c r="CH36" s="2573"/>
      <c r="CI36" s="2573"/>
      <c r="CJ36" s="2573"/>
      <c r="CK36" s="2573"/>
      <c r="CL36" s="2573"/>
      <c r="CM36" s="2573"/>
      <c r="CN36" s="2573"/>
      <c r="CO36" s="2573"/>
      <c r="CP36" s="2573"/>
      <c r="CQ36" s="2573"/>
      <c r="CR36" s="2573"/>
      <c r="CS36" s="2573"/>
      <c r="CT36" s="2573"/>
      <c r="CU36" s="2573"/>
      <c r="CV36" s="2573"/>
      <c r="CW36" s="2573"/>
      <c r="CX36" s="2573"/>
      <c r="CY36" s="2573"/>
      <c r="CZ36" s="2573"/>
      <c r="DA36" s="2573"/>
      <c r="DB36" s="2573"/>
      <c r="DC36" s="2573"/>
      <c r="DD36" s="2573"/>
      <c r="DE36" s="2573"/>
      <c r="DF36" s="2573"/>
      <c r="DG36" s="2573"/>
      <c r="DH36" s="2531"/>
      <c r="DI36" s="2531"/>
      <c r="DJ36" s="2531"/>
      <c r="DK36" s="2531"/>
      <c r="DL36" s="2531"/>
      <c r="DM36" s="2531"/>
      <c r="DN36" s="2531"/>
      <c r="DO36" s="2531"/>
      <c r="DP36" s="2531"/>
      <c r="DQ36" s="2531"/>
      <c r="DR36" s="2531"/>
      <c r="DS36" s="2531"/>
      <c r="DT36" s="2531"/>
      <c r="DU36" s="2531"/>
      <c r="DV36" s="2531"/>
      <c r="DW36" s="2531"/>
      <c r="DX36" s="2531"/>
      <c r="DY36" s="2531"/>
      <c r="DZ36" s="2531"/>
      <c r="EA36" s="2531"/>
      <c r="EB36" s="2531"/>
      <c r="EC36" s="2531"/>
      <c r="ED36" s="2531"/>
      <c r="EE36" s="2531"/>
      <c r="EF36" s="2531"/>
      <c r="EG36" s="2531"/>
      <c r="EH36" s="2531"/>
      <c r="EI36" s="2531"/>
      <c r="EJ36" s="2531"/>
      <c r="EK36" s="2531"/>
      <c r="EL36" s="2531"/>
      <c r="EM36" s="2531"/>
      <c r="EN36" s="2531"/>
      <c r="EO36" s="2531"/>
      <c r="EP36" s="2531"/>
      <c r="EQ36" s="2531"/>
      <c r="ER36" s="2531"/>
      <c r="ES36" s="2531"/>
      <c r="ET36" s="2531"/>
      <c r="EU36" s="2531"/>
      <c r="EV36" s="2531"/>
      <c r="EW36" s="2531"/>
      <c r="EX36" s="2531"/>
      <c r="EY36" s="2531"/>
      <c r="EZ36" s="2531"/>
      <c r="FA36" s="2531"/>
      <c r="FB36" s="2531"/>
      <c r="FC36" s="2531"/>
      <c r="FD36" s="2602"/>
      <c r="FE36" s="2602"/>
      <c r="FF36" s="2602"/>
      <c r="FG36" s="2602"/>
      <c r="FH36" s="2602"/>
      <c r="FI36" s="2602"/>
      <c r="FJ36" s="2602"/>
      <c r="FK36" s="2602"/>
      <c r="FL36" s="2602"/>
      <c r="FM36" s="2602"/>
      <c r="FN36" s="2602"/>
      <c r="FO36" s="2602"/>
      <c r="FP36" s="2603"/>
      <c r="FQ36" s="2602"/>
      <c r="FR36" s="2602"/>
      <c r="FS36" s="2602"/>
      <c r="FT36" s="2602"/>
      <c r="FU36" s="2602"/>
      <c r="FV36" s="2602"/>
      <c r="FW36" s="2602"/>
      <c r="FX36" s="2602"/>
      <c r="FY36" s="2602"/>
      <c r="FZ36" s="2602"/>
      <c r="GA36" s="2602"/>
      <c r="GB36" s="2595"/>
      <c r="GC36" s="2569"/>
      <c r="GD36" s="2567"/>
      <c r="GE36" s="2567"/>
      <c r="GF36" s="2567"/>
      <c r="GG36" s="2567"/>
      <c r="GH36" s="2567"/>
      <c r="GI36" s="2567"/>
      <c r="GJ36" s="2567"/>
      <c r="GK36" s="2573"/>
      <c r="GL36" s="2568"/>
      <c r="GM36" s="2568"/>
      <c r="GN36" s="2568"/>
      <c r="GO36" s="2567"/>
      <c r="GP36" s="2567"/>
      <c r="GQ36" s="2567"/>
      <c r="GR36" s="2567"/>
      <c r="GS36" s="2567"/>
      <c r="GT36" s="2568"/>
      <c r="GU36" s="2568"/>
      <c r="GV36" s="2568"/>
      <c r="GW36" s="2568"/>
      <c r="GX36" s="2569"/>
      <c r="GY36" s="2569"/>
      <c r="GZ36" s="2569"/>
      <c r="HA36" s="2569"/>
      <c r="HB36" s="2569"/>
      <c r="HC36" s="2569"/>
      <c r="HD36" s="2569"/>
      <c r="HE36" s="2569"/>
      <c r="HF36" s="2569"/>
      <c r="HG36" s="2569"/>
      <c r="HH36" s="2569"/>
      <c r="HI36" s="2569"/>
      <c r="HJ36" s="2569"/>
      <c r="HK36" s="2569"/>
      <c r="HL36" s="2569"/>
      <c r="HM36" s="2570"/>
      <c r="HN36" s="2570"/>
      <c r="HO36" s="2570"/>
      <c r="HP36" s="2570"/>
      <c r="HQ36" s="2570"/>
      <c r="HR36" s="2570"/>
      <c r="HS36" s="2570"/>
      <c r="HT36" s="2569"/>
      <c r="HU36" s="2569"/>
      <c r="HV36" s="2569"/>
      <c r="HW36" s="2569"/>
      <c r="HX36" s="2569"/>
      <c r="HY36" s="2569"/>
      <c r="HZ36" s="2569"/>
      <c r="IA36" s="2569"/>
      <c r="IB36" s="2569"/>
      <c r="IC36" s="2569"/>
      <c r="ID36" s="2569"/>
      <c r="IE36" s="2569"/>
      <c r="IF36" s="2569"/>
      <c r="IG36" s="2569"/>
      <c r="IH36" s="2569"/>
      <c r="II36" s="2569"/>
      <c r="IJ36" s="2569"/>
      <c r="IK36" s="2606"/>
      <c r="IL36" s="3265"/>
      <c r="IM36" s="3265"/>
      <c r="IN36" s="3265"/>
      <c r="IO36" s="3265"/>
      <c r="IP36" s="3265"/>
      <c r="IQ36" s="3038"/>
      <c r="IR36" s="3038"/>
      <c r="IS36" s="3038"/>
      <c r="IT36" s="3038"/>
      <c r="IU36" s="3039"/>
      <c r="IV36" s="3099"/>
      <c r="IW36" s="3099"/>
      <c r="IX36" s="3099"/>
      <c r="IY36" s="3100"/>
      <c r="IZ36" s="3101"/>
      <c r="JA36" s="3578"/>
      <c r="JC36" s="3099"/>
      <c r="JD36" s="2566"/>
      <c r="JE36" s="2566"/>
      <c r="JF36" s="2566"/>
      <c r="JG36" s="2566"/>
      <c r="JH36" s="2566"/>
      <c r="JI36" s="3076"/>
      <c r="JJ36" s="2566"/>
      <c r="JK36" s="2566"/>
      <c r="JL36" s="2566"/>
      <c r="JM36" s="2566"/>
      <c r="JN36" s="2566"/>
      <c r="JO36" s="2566"/>
      <c r="JP36" s="2566"/>
      <c r="JQ36" s="2566"/>
      <c r="JS36" s="2566"/>
      <c r="JT36" s="2566"/>
      <c r="JU36" s="2566"/>
      <c r="JV36" s="2566"/>
      <c r="JW36" s="2566"/>
      <c r="JX36" s="2566"/>
      <c r="JY36" s="2566"/>
      <c r="JZ36" s="2566"/>
      <c r="KA36" s="2566"/>
      <c r="KB36" s="2566"/>
      <c r="KC36" s="2566"/>
      <c r="KD36" s="2566"/>
      <c r="KE36" s="2566"/>
      <c r="KF36" s="2566"/>
      <c r="KG36" s="2566"/>
      <c r="KH36" s="2566"/>
      <c r="KI36" s="2566"/>
      <c r="KJ36" s="2566"/>
      <c r="KK36" s="2566"/>
      <c r="KL36" s="2566"/>
      <c r="KM36" s="2566"/>
      <c r="KN36" s="2566"/>
      <c r="KO36" s="2566"/>
    </row>
    <row r="37" spans="1:301" ht="18" hidden="1" customHeight="1">
      <c r="A37" s="2566"/>
      <c r="B37" s="2566"/>
      <c r="C37" s="3085" t="s">
        <v>451</v>
      </c>
      <c r="D37" s="5488">
        <v>2007</v>
      </c>
      <c r="E37" s="5488"/>
      <c r="F37" s="5488"/>
      <c r="G37" s="5488"/>
      <c r="H37" s="5488"/>
      <c r="I37" s="5488"/>
      <c r="J37" s="5488"/>
      <c r="K37" s="5488"/>
      <c r="L37" s="5488"/>
      <c r="M37" s="5488"/>
      <c r="N37" s="5488"/>
      <c r="O37" s="5489"/>
      <c r="P37" s="5490">
        <v>2008</v>
      </c>
      <c r="Q37" s="5491"/>
      <c r="R37" s="5491"/>
      <c r="S37" s="5491"/>
      <c r="T37" s="5491"/>
      <c r="U37" s="5491"/>
      <c r="V37" s="5491"/>
      <c r="W37" s="5491"/>
      <c r="X37" s="5491"/>
      <c r="Y37" s="5491"/>
      <c r="Z37" s="5491"/>
      <c r="AA37" s="5491"/>
      <c r="AB37" s="5492">
        <v>2009</v>
      </c>
      <c r="AC37" s="5493"/>
      <c r="AD37" s="5493"/>
      <c r="AE37" s="5493"/>
      <c r="AF37" s="5493"/>
      <c r="AG37" s="5493"/>
      <c r="AH37" s="5493"/>
      <c r="AI37" s="5493"/>
      <c r="AJ37" s="5493"/>
      <c r="AK37" s="5493"/>
      <c r="AL37" s="5493"/>
      <c r="AM37" s="5494"/>
      <c r="AN37" s="5495">
        <v>2010</v>
      </c>
      <c r="AO37" s="5496"/>
      <c r="AP37" s="5496"/>
      <c r="AQ37" s="5496"/>
      <c r="AR37" s="5496"/>
      <c r="AS37" s="5496"/>
      <c r="AT37" s="5496"/>
      <c r="AU37" s="5496"/>
      <c r="AV37" s="5496"/>
      <c r="AW37" s="5496"/>
      <c r="AX37" s="5496"/>
      <c r="AY37" s="5496"/>
      <c r="AZ37" s="5497">
        <v>2011</v>
      </c>
      <c r="BA37" s="5498"/>
      <c r="BB37" s="5498"/>
      <c r="BC37" s="5498"/>
      <c r="BD37" s="5498"/>
      <c r="BE37" s="5498"/>
      <c r="BF37" s="5498"/>
      <c r="BG37" s="5498"/>
      <c r="BH37" s="5498"/>
      <c r="BI37" s="5498"/>
      <c r="BJ37" s="5498"/>
      <c r="BK37" s="5499"/>
      <c r="BL37" s="5500">
        <v>2012</v>
      </c>
      <c r="BM37" s="5501"/>
      <c r="BN37" s="5501"/>
      <c r="BO37" s="3604"/>
      <c r="BP37" s="3604"/>
      <c r="BQ37" s="3604"/>
      <c r="BR37" s="3604"/>
      <c r="BS37" s="3604"/>
      <c r="BT37" s="3086"/>
      <c r="BU37" s="3086"/>
      <c r="BV37" s="3086"/>
      <c r="BW37" s="3214"/>
      <c r="BX37" s="3215">
        <v>2013</v>
      </c>
      <c r="BY37" s="3216"/>
      <c r="BZ37" s="3216"/>
      <c r="CA37" s="3216"/>
      <c r="CB37" s="3216"/>
      <c r="CC37" s="3216"/>
      <c r="CD37" s="3216"/>
      <c r="CE37" s="3216"/>
      <c r="CF37" s="3216"/>
      <c r="CG37" s="3216"/>
      <c r="CH37" s="3216"/>
      <c r="CI37" s="3216"/>
      <c r="CJ37" s="3090">
        <v>2014</v>
      </c>
      <c r="CK37" s="3091"/>
      <c r="CL37" s="3091"/>
      <c r="CM37" s="3091"/>
      <c r="CN37" s="3091"/>
      <c r="CO37" s="3091"/>
      <c r="CP37" s="3091"/>
      <c r="CQ37" s="3091"/>
      <c r="CR37" s="3091"/>
      <c r="CS37" s="3091"/>
      <c r="CT37" s="3091"/>
      <c r="CU37" s="3092"/>
      <c r="CV37" s="3093">
        <v>2015</v>
      </c>
      <c r="CW37" s="3094"/>
      <c r="CX37" s="3094"/>
      <c r="CY37" s="3094"/>
      <c r="CZ37" s="3094"/>
      <c r="DA37" s="3094"/>
      <c r="DB37" s="3094"/>
      <c r="DC37" s="3094"/>
      <c r="DD37" s="3094"/>
      <c r="DE37" s="3217"/>
      <c r="DF37" s="3095"/>
      <c r="DG37" s="3095"/>
      <c r="DH37" s="5502">
        <v>2016</v>
      </c>
      <c r="DI37" s="5503"/>
      <c r="DJ37" s="5503"/>
      <c r="DK37" s="5503"/>
      <c r="DL37" s="5503"/>
      <c r="DM37" s="5503"/>
      <c r="DN37" s="5503"/>
      <c r="DO37" s="5503"/>
      <c r="DP37" s="5503"/>
      <c r="DQ37" s="5503"/>
      <c r="DR37" s="5503"/>
      <c r="DS37" s="5504"/>
      <c r="DT37" s="3218">
        <v>2017</v>
      </c>
      <c r="DU37" s="3218"/>
      <c r="DV37" s="3218"/>
      <c r="DW37" s="3218"/>
      <c r="DX37" s="3218"/>
      <c r="DY37" s="3218"/>
      <c r="DZ37" s="3219"/>
      <c r="EA37" s="3219"/>
      <c r="EB37" s="3219"/>
      <c r="EC37" s="3219"/>
      <c r="ED37" s="3219"/>
      <c r="EE37" s="3219"/>
      <c r="EF37" s="3218">
        <v>2017</v>
      </c>
      <c r="EG37" s="3218"/>
      <c r="EH37" s="3218"/>
      <c r="EI37" s="3218"/>
      <c r="EJ37" s="3218"/>
      <c r="EK37" s="3218"/>
      <c r="EL37" s="3219"/>
      <c r="EM37" s="3219"/>
      <c r="EN37" s="3219"/>
      <c r="EO37" s="3219"/>
      <c r="EP37" s="3219"/>
      <c r="EQ37" s="3219"/>
      <c r="ER37" s="3218">
        <v>2017</v>
      </c>
      <c r="ES37" s="3218"/>
      <c r="ET37" s="3218"/>
      <c r="EU37" s="3218"/>
      <c r="EV37" s="3218"/>
      <c r="EW37" s="3218"/>
      <c r="EX37" s="3219"/>
      <c r="EY37" s="3219"/>
      <c r="EZ37" s="3219"/>
      <c r="FA37" s="3219"/>
      <c r="FB37" s="3219"/>
      <c r="FC37" s="3219"/>
      <c r="FD37" s="2591"/>
      <c r="FE37" s="2591"/>
      <c r="FF37" s="2591"/>
      <c r="FG37" s="2591"/>
      <c r="FH37" s="2591"/>
      <c r="FI37" s="2591"/>
      <c r="FJ37" s="2591"/>
      <c r="FK37" s="2591"/>
      <c r="FL37" s="2591"/>
      <c r="FM37" s="2591"/>
      <c r="FN37" s="2591"/>
      <c r="FO37" s="2591"/>
      <c r="FP37" s="2590"/>
      <c r="FQ37" s="2591"/>
      <c r="FR37" s="2591"/>
      <c r="FS37" s="2591"/>
      <c r="FT37" s="2591"/>
      <c r="FU37" s="2591"/>
      <c r="FV37" s="2591"/>
      <c r="FW37" s="2591"/>
      <c r="FX37" s="2591"/>
      <c r="FY37" s="2591"/>
      <c r="FZ37" s="2591"/>
      <c r="GA37" s="2591"/>
      <c r="GB37" s="2592"/>
      <c r="GC37" s="2569"/>
      <c r="GD37" s="5505">
        <v>2007</v>
      </c>
      <c r="GE37" s="5506"/>
      <c r="GF37" s="5506"/>
      <c r="GG37" s="5506"/>
      <c r="GH37" s="5507">
        <v>2008</v>
      </c>
      <c r="GI37" s="5508"/>
      <c r="GJ37" s="5508"/>
      <c r="GK37" s="5509"/>
      <c r="GL37" s="5478">
        <v>2009</v>
      </c>
      <c r="GM37" s="5479"/>
      <c r="GN37" s="5479"/>
      <c r="GO37" s="5479"/>
      <c r="GP37" s="5480">
        <v>2010</v>
      </c>
      <c r="GQ37" s="5481"/>
      <c r="GR37" s="5481"/>
      <c r="GS37" s="5482"/>
      <c r="GT37" s="5483">
        <v>2011</v>
      </c>
      <c r="GU37" s="5484"/>
      <c r="GV37" s="5484"/>
      <c r="GW37" s="5485"/>
      <c r="GX37" s="5486">
        <v>2012</v>
      </c>
      <c r="GY37" s="5486"/>
      <c r="GZ37" s="5486"/>
      <c r="HA37" s="5486"/>
      <c r="HB37" s="2643">
        <v>2013</v>
      </c>
      <c r="HC37" s="2643"/>
      <c r="HD37" s="2643"/>
      <c r="HE37" s="2643"/>
      <c r="HF37" s="2644">
        <v>2014</v>
      </c>
      <c r="HG37" s="2644"/>
      <c r="HH37" s="2644"/>
      <c r="HI37" s="2644"/>
      <c r="HJ37" s="2645">
        <v>2015</v>
      </c>
      <c r="HK37" s="2645"/>
      <c r="HL37" s="2645"/>
      <c r="HM37" s="2646">
        <v>2016</v>
      </c>
      <c r="HN37" s="2646"/>
      <c r="HO37" s="2646"/>
      <c r="HP37" s="2646"/>
      <c r="HQ37" s="2647">
        <v>2017</v>
      </c>
      <c r="HR37" s="2647"/>
      <c r="HS37" s="2570"/>
      <c r="HT37" s="2569"/>
      <c r="HU37" s="2569"/>
      <c r="HV37" s="2643"/>
      <c r="HW37" s="2643"/>
      <c r="HX37" s="2643"/>
      <c r="HY37" s="2569"/>
      <c r="HZ37" s="2643"/>
      <c r="IA37" s="2643"/>
      <c r="IB37" s="2643"/>
      <c r="IC37" s="2643"/>
      <c r="ID37" s="2643"/>
      <c r="IE37" s="2643"/>
      <c r="IF37" s="2643"/>
      <c r="IG37" s="2643"/>
      <c r="IH37" s="2643"/>
      <c r="II37" s="2643"/>
      <c r="IJ37" s="2643"/>
      <c r="IK37" s="2648">
        <v>2007</v>
      </c>
      <c r="IL37" s="3098">
        <v>2008</v>
      </c>
      <c r="IM37" s="3098">
        <v>2009</v>
      </c>
      <c r="IN37" s="3098">
        <v>2010</v>
      </c>
      <c r="IO37" s="3098">
        <v>2011</v>
      </c>
      <c r="IP37" s="3098">
        <v>2012</v>
      </c>
      <c r="IQ37" s="3098">
        <v>2013</v>
      </c>
      <c r="IR37" s="3098">
        <v>2014</v>
      </c>
      <c r="IS37" s="5487" t="s">
        <v>452</v>
      </c>
      <c r="IT37" s="5487">
        <v>2016</v>
      </c>
      <c r="IU37" s="5475" t="str">
        <f>+IU15</f>
        <v>jul 2016 - jun 2017</v>
      </c>
      <c r="IV37" s="3099"/>
      <c r="IW37" s="3099"/>
      <c r="IX37" s="3099"/>
      <c r="IY37" s="3100"/>
      <c r="IZ37" s="3101"/>
      <c r="JA37" s="3578"/>
      <c r="JC37" s="3099"/>
      <c r="JD37" s="2566"/>
      <c r="JE37" s="2566"/>
      <c r="JF37" s="2566"/>
      <c r="JG37" s="2566"/>
      <c r="JH37" s="2566"/>
      <c r="JI37" s="3076"/>
      <c r="JJ37" s="2566"/>
      <c r="JK37" s="2566"/>
      <c r="JL37" s="2566"/>
      <c r="JM37" s="2566"/>
      <c r="JN37" s="2566"/>
      <c r="JO37" s="2566"/>
      <c r="JP37" s="2566"/>
      <c r="JQ37" s="2566"/>
      <c r="JS37" s="2566"/>
      <c r="JT37" s="2566"/>
      <c r="JU37" s="2566"/>
      <c r="JV37" s="2566"/>
      <c r="JW37" s="2566"/>
      <c r="JX37" s="2566"/>
      <c r="JY37" s="2566"/>
      <c r="JZ37" s="2566"/>
      <c r="KA37" s="2566"/>
      <c r="KB37" s="2566"/>
      <c r="KC37" s="2566"/>
      <c r="KD37" s="2566"/>
      <c r="KE37" s="2566"/>
      <c r="KF37" s="2566"/>
      <c r="KG37" s="2566"/>
      <c r="KH37" s="2566"/>
      <c r="KI37" s="2566"/>
      <c r="KJ37" s="2566"/>
      <c r="KK37" s="2566"/>
      <c r="KL37" s="2566"/>
      <c r="KM37" s="2566"/>
      <c r="KN37" s="2566"/>
      <c r="KO37" s="2566"/>
    </row>
    <row r="38" spans="1:301" ht="4.5" hidden="1" customHeight="1">
      <c r="A38" s="2566"/>
      <c r="B38" s="2566"/>
      <c r="C38" s="3077"/>
      <c r="D38" s="3078"/>
      <c r="E38" s="3078"/>
      <c r="F38" s="3078"/>
      <c r="G38" s="3078"/>
      <c r="H38" s="3078"/>
      <c r="I38" s="3078"/>
      <c r="J38" s="3078"/>
      <c r="K38" s="3078"/>
      <c r="L38" s="3078"/>
      <c r="M38" s="3078"/>
      <c r="N38" s="3078"/>
      <c r="O38" s="3078"/>
      <c r="P38" s="3078"/>
      <c r="Q38" s="3078"/>
      <c r="R38" s="3078"/>
      <c r="S38" s="3078"/>
      <c r="T38" s="3078"/>
      <c r="U38" s="3078"/>
      <c r="V38" s="3078"/>
      <c r="W38" s="3078"/>
      <c r="X38" s="3078"/>
      <c r="Y38" s="3078"/>
      <c r="Z38" s="3078"/>
      <c r="AA38" s="3078"/>
      <c r="AB38" s="3078"/>
      <c r="AC38" s="3078"/>
      <c r="AD38" s="3078"/>
      <c r="AE38" s="3078"/>
      <c r="AF38" s="3078"/>
      <c r="AG38" s="3078"/>
      <c r="AH38" s="3078"/>
      <c r="AI38" s="3078"/>
      <c r="AJ38" s="3078"/>
      <c r="AK38" s="3078"/>
      <c r="AL38" s="3078"/>
      <c r="AM38" s="3078"/>
      <c r="AN38" s="3078"/>
      <c r="AO38" s="3078"/>
      <c r="AP38" s="3078"/>
      <c r="AQ38" s="3078"/>
      <c r="AR38" s="3078"/>
      <c r="AS38" s="3078"/>
      <c r="AT38" s="3078"/>
      <c r="AU38" s="3078"/>
      <c r="AV38" s="3078"/>
      <c r="AW38" s="3078"/>
      <c r="AX38" s="3078"/>
      <c r="AY38" s="3078"/>
      <c r="AZ38" s="3266"/>
      <c r="BA38" s="3267"/>
      <c r="BB38" s="3267"/>
      <c r="BC38" s="3267"/>
      <c r="BD38" s="3267"/>
      <c r="BE38" s="3267"/>
      <c r="BF38" s="3267"/>
      <c r="BG38" s="3267"/>
      <c r="BH38" s="3267"/>
      <c r="BI38" s="3267"/>
      <c r="BJ38" s="3267"/>
      <c r="BK38" s="3268"/>
      <c r="BL38" s="3104"/>
      <c r="BM38" s="3095"/>
      <c r="BN38" s="3095"/>
      <c r="BO38" s="3095"/>
      <c r="BP38" s="3095"/>
      <c r="BQ38" s="3095"/>
      <c r="BR38" s="3095"/>
      <c r="BS38" s="3095"/>
      <c r="BT38" s="3095"/>
      <c r="BU38" s="3095"/>
      <c r="BV38" s="3095"/>
      <c r="BW38" s="3105"/>
      <c r="BX38" s="3104"/>
      <c r="BY38" s="3095"/>
      <c r="BZ38" s="3095"/>
      <c r="CA38" s="3095"/>
      <c r="CB38" s="3095"/>
      <c r="CC38" s="3095"/>
      <c r="CD38" s="3095"/>
      <c r="CE38" s="3095"/>
      <c r="CF38" s="3095"/>
      <c r="CG38" s="3095"/>
      <c r="CH38" s="3095"/>
      <c r="CI38" s="3095"/>
      <c r="CJ38" s="3109"/>
      <c r="CK38" s="3110"/>
      <c r="CL38" s="3110"/>
      <c r="CM38" s="3110"/>
      <c r="CN38" s="3110"/>
      <c r="CO38" s="3110"/>
      <c r="CP38" s="3110"/>
      <c r="CQ38" s="3110"/>
      <c r="CR38" s="3110"/>
      <c r="CS38" s="3110"/>
      <c r="CT38" s="3110"/>
      <c r="CU38" s="3111"/>
      <c r="CV38" s="3112"/>
      <c r="CW38" s="3113"/>
      <c r="CX38" s="3113"/>
      <c r="CY38" s="3113"/>
      <c r="CZ38" s="3113"/>
      <c r="DA38" s="3113"/>
      <c r="DB38" s="3113"/>
      <c r="DC38" s="3113"/>
      <c r="DD38" s="3113"/>
      <c r="DE38" s="3220"/>
      <c r="DF38" s="3113"/>
      <c r="DG38" s="3113"/>
      <c r="DH38" s="3114"/>
      <c r="DI38" s="3114"/>
      <c r="DJ38" s="3114"/>
      <c r="DK38" s="3114"/>
      <c r="DL38" s="3114"/>
      <c r="DM38" s="3114"/>
      <c r="DN38" s="3114"/>
      <c r="DO38" s="3114"/>
      <c r="DP38" s="3114"/>
      <c r="DQ38" s="3114"/>
      <c r="DR38" s="3114"/>
      <c r="DS38" s="3114"/>
      <c r="DT38" s="3115"/>
      <c r="DU38" s="3115"/>
      <c r="DV38" s="3115"/>
      <c r="DW38" s="3115"/>
      <c r="DX38" s="3115"/>
      <c r="DY38" s="3115"/>
      <c r="DZ38" s="3116"/>
      <c r="EA38" s="3116"/>
      <c r="EB38" s="3116"/>
      <c r="EC38" s="3116"/>
      <c r="ED38" s="3116"/>
      <c r="EE38" s="3116"/>
      <c r="EF38" s="3115"/>
      <c r="EG38" s="3115"/>
      <c r="EH38" s="3115"/>
      <c r="EI38" s="3115"/>
      <c r="EJ38" s="3115"/>
      <c r="EK38" s="3115"/>
      <c r="EL38" s="3116"/>
      <c r="EM38" s="3116"/>
      <c r="EN38" s="3116"/>
      <c r="EO38" s="3116"/>
      <c r="EP38" s="3116"/>
      <c r="EQ38" s="3116"/>
      <c r="ER38" s="3115"/>
      <c r="ES38" s="3115"/>
      <c r="ET38" s="3115"/>
      <c r="EU38" s="3115"/>
      <c r="EV38" s="3115"/>
      <c r="EW38" s="3115"/>
      <c r="EX38" s="3116"/>
      <c r="EY38" s="3116"/>
      <c r="EZ38" s="3116"/>
      <c r="FA38" s="3116"/>
      <c r="FB38" s="3116"/>
      <c r="FC38" s="3116"/>
      <c r="FD38" s="2649"/>
      <c r="FE38" s="2649"/>
      <c r="FF38" s="2649"/>
      <c r="FG38" s="2649"/>
      <c r="FH38" s="2649"/>
      <c r="FI38" s="2649"/>
      <c r="FJ38" s="2649"/>
      <c r="FK38" s="2649"/>
      <c r="FL38" s="2649"/>
      <c r="FM38" s="2649"/>
      <c r="FN38" s="2649"/>
      <c r="FO38" s="2649"/>
      <c r="FP38" s="2650"/>
      <c r="FQ38" s="2649"/>
      <c r="FR38" s="2649"/>
      <c r="FS38" s="2649"/>
      <c r="FT38" s="2649"/>
      <c r="FU38" s="2649"/>
      <c r="FV38" s="2649"/>
      <c r="FW38" s="2649"/>
      <c r="FX38" s="2649"/>
      <c r="FY38" s="2649"/>
      <c r="FZ38" s="2649"/>
      <c r="GA38" s="2649"/>
      <c r="GB38" s="2592"/>
      <c r="GC38" s="2569"/>
      <c r="GD38" s="2641"/>
      <c r="GE38" s="2641"/>
      <c r="GF38" s="2641"/>
      <c r="GG38" s="2641"/>
      <c r="GH38" s="2641"/>
      <c r="GI38" s="2641"/>
      <c r="GJ38" s="2641"/>
      <c r="GK38" s="2641"/>
      <c r="GL38" s="2641"/>
      <c r="GM38" s="2641"/>
      <c r="GN38" s="2641"/>
      <c r="GO38" s="2641"/>
      <c r="GP38" s="2641"/>
      <c r="GQ38" s="2641"/>
      <c r="GR38" s="2641"/>
      <c r="GS38" s="2641"/>
      <c r="GT38" s="2652"/>
      <c r="GU38" s="2652"/>
      <c r="GV38" s="2652"/>
      <c r="GW38" s="2652"/>
      <c r="GX38" s="5486"/>
      <c r="GY38" s="5486"/>
      <c r="GZ38" s="5486"/>
      <c r="HA38" s="5486"/>
      <c r="HB38" s="3605"/>
      <c r="HC38" s="3605"/>
      <c r="HD38" s="3605"/>
      <c r="HE38" s="3605"/>
      <c r="HF38" s="2653"/>
      <c r="HG38" s="2653"/>
      <c r="HH38" s="2653"/>
      <c r="HI38" s="2653"/>
      <c r="HJ38" s="2653"/>
      <c r="HK38" s="2653"/>
      <c r="HL38" s="2653"/>
      <c r="HM38" s="2715"/>
      <c r="HN38" s="2715"/>
      <c r="HO38" s="2715"/>
      <c r="HP38" s="2715"/>
      <c r="HQ38" s="2715"/>
      <c r="HR38" s="2715"/>
      <c r="HS38" s="2591"/>
      <c r="HT38" s="2641"/>
      <c r="HU38" s="2652"/>
      <c r="HV38" s="3605"/>
      <c r="HW38" s="3605"/>
      <c r="HX38" s="3605"/>
      <c r="HY38" s="2652"/>
      <c r="HZ38" s="3605"/>
      <c r="IA38" s="3605"/>
      <c r="IB38" s="3605"/>
      <c r="IC38" s="3605"/>
      <c r="ID38" s="3605"/>
      <c r="IE38" s="3605"/>
      <c r="IF38" s="3605"/>
      <c r="IG38" s="3605"/>
      <c r="IH38" s="3605"/>
      <c r="II38" s="3605"/>
      <c r="IJ38" s="3605"/>
      <c r="IK38" s="2642"/>
      <c r="IL38" s="3080"/>
      <c r="IM38" s="3080"/>
      <c r="IN38" s="3080"/>
      <c r="IO38" s="3080"/>
      <c r="IP38" s="3080"/>
      <c r="IQ38" s="3080"/>
      <c r="IR38" s="3080"/>
      <c r="IS38" s="5487"/>
      <c r="IT38" s="5487"/>
      <c r="IU38" s="5476"/>
      <c r="IV38" s="3082"/>
      <c r="IW38" s="3082"/>
      <c r="IX38" s="3082"/>
      <c r="IY38" s="3083"/>
      <c r="IZ38" s="3084"/>
      <c r="JA38" s="3578"/>
      <c r="JC38" s="3082"/>
      <c r="JD38" s="2566"/>
      <c r="JE38" s="2566"/>
      <c r="JF38" s="2566"/>
      <c r="JG38" s="2566"/>
      <c r="JH38" s="2566"/>
      <c r="JI38" s="3076"/>
      <c r="JJ38" s="2566"/>
      <c r="JK38" s="2566"/>
      <c r="JL38" s="2566"/>
      <c r="JM38" s="2566"/>
      <c r="JN38" s="2566"/>
      <c r="JO38" s="2566"/>
      <c r="JP38" s="2566"/>
      <c r="JQ38" s="2566"/>
      <c r="JS38" s="2566"/>
      <c r="JT38" s="2566"/>
      <c r="JU38" s="2566"/>
      <c r="JV38" s="2566"/>
      <c r="JW38" s="2566"/>
      <c r="JX38" s="2566"/>
      <c r="JY38" s="2566"/>
      <c r="JZ38" s="2566"/>
      <c r="KA38" s="2566"/>
      <c r="KB38" s="2566"/>
      <c r="KC38" s="2566"/>
      <c r="KD38" s="2566"/>
      <c r="KE38" s="2566"/>
      <c r="KF38" s="2566"/>
      <c r="KG38" s="2566"/>
      <c r="KH38" s="2566"/>
      <c r="KI38" s="2566"/>
      <c r="KJ38" s="2566"/>
      <c r="KK38" s="2566"/>
      <c r="KL38" s="2566"/>
      <c r="KM38" s="2566"/>
      <c r="KN38" s="2566"/>
      <c r="KO38" s="2566"/>
    </row>
    <row r="39" spans="1:301" ht="21" hidden="1" customHeight="1">
      <c r="A39" s="2566"/>
      <c r="B39" s="2566"/>
      <c r="C39" s="3056" t="s">
        <v>474</v>
      </c>
      <c r="D39" s="3118" t="s">
        <v>36</v>
      </c>
      <c r="E39" s="3119" t="s">
        <v>37</v>
      </c>
      <c r="F39" s="3119" t="s">
        <v>38</v>
      </c>
      <c r="G39" s="3119" t="s">
        <v>39</v>
      </c>
      <c r="H39" s="3119" t="s">
        <v>40</v>
      </c>
      <c r="I39" s="3119" t="s">
        <v>41</v>
      </c>
      <c r="J39" s="3119" t="s">
        <v>42</v>
      </c>
      <c r="K39" s="3119" t="s">
        <v>43</v>
      </c>
      <c r="L39" s="3119" t="s">
        <v>44</v>
      </c>
      <c r="M39" s="3119" t="s">
        <v>45</v>
      </c>
      <c r="N39" s="3119" t="s">
        <v>46</v>
      </c>
      <c r="O39" s="3120" t="s">
        <v>47</v>
      </c>
      <c r="P39" s="3121" t="s">
        <v>36</v>
      </c>
      <c r="Q39" s="3119" t="s">
        <v>37</v>
      </c>
      <c r="R39" s="3119" t="s">
        <v>38</v>
      </c>
      <c r="S39" s="3119" t="s">
        <v>39</v>
      </c>
      <c r="T39" s="3119" t="s">
        <v>40</v>
      </c>
      <c r="U39" s="3119" t="s">
        <v>41</v>
      </c>
      <c r="V39" s="3119" t="s">
        <v>42</v>
      </c>
      <c r="W39" s="3119" t="s">
        <v>43</v>
      </c>
      <c r="X39" s="3119" t="s">
        <v>44</v>
      </c>
      <c r="Y39" s="3119" t="s">
        <v>45</v>
      </c>
      <c r="Z39" s="3119" t="s">
        <v>46</v>
      </c>
      <c r="AA39" s="3269" t="s">
        <v>47</v>
      </c>
      <c r="AB39" s="3122" t="s">
        <v>36</v>
      </c>
      <c r="AC39" s="3123" t="s">
        <v>37</v>
      </c>
      <c r="AD39" s="3123" t="s">
        <v>38</v>
      </c>
      <c r="AE39" s="3123" t="s">
        <v>39</v>
      </c>
      <c r="AF39" s="3123" t="s">
        <v>40</v>
      </c>
      <c r="AG39" s="3123" t="s">
        <v>41</v>
      </c>
      <c r="AH39" s="3123" t="s">
        <v>42</v>
      </c>
      <c r="AI39" s="3123" t="s">
        <v>43</v>
      </c>
      <c r="AJ39" s="3123" t="s">
        <v>44</v>
      </c>
      <c r="AK39" s="3123" t="s">
        <v>45</v>
      </c>
      <c r="AL39" s="3123" t="s">
        <v>46</v>
      </c>
      <c r="AM39" s="3123" t="s">
        <v>47</v>
      </c>
      <c r="AN39" s="3123" t="s">
        <v>36</v>
      </c>
      <c r="AO39" s="3123" t="s">
        <v>37</v>
      </c>
      <c r="AP39" s="3123" t="s">
        <v>38</v>
      </c>
      <c r="AQ39" s="3123" t="s">
        <v>39</v>
      </c>
      <c r="AR39" s="3123" t="s">
        <v>40</v>
      </c>
      <c r="AS39" s="3123" t="s">
        <v>41</v>
      </c>
      <c r="AT39" s="3123" t="s">
        <v>42</v>
      </c>
      <c r="AU39" s="3123" t="s">
        <v>43</v>
      </c>
      <c r="AV39" s="3123" t="s">
        <v>44</v>
      </c>
      <c r="AW39" s="3123" t="s">
        <v>45</v>
      </c>
      <c r="AX39" s="3123" t="s">
        <v>46</v>
      </c>
      <c r="AY39" s="3124" t="s">
        <v>47</v>
      </c>
      <c r="AZ39" s="3125" t="s">
        <v>36</v>
      </c>
      <c r="BA39" s="3126" t="s">
        <v>37</v>
      </c>
      <c r="BB39" s="3126" t="s">
        <v>38</v>
      </c>
      <c r="BC39" s="3126" t="s">
        <v>39</v>
      </c>
      <c r="BD39" s="3126" t="s">
        <v>40</v>
      </c>
      <c r="BE39" s="3126" t="s">
        <v>41</v>
      </c>
      <c r="BF39" s="3126" t="s">
        <v>42</v>
      </c>
      <c r="BG39" s="3126" t="s">
        <v>43</v>
      </c>
      <c r="BH39" s="3126" t="s">
        <v>44</v>
      </c>
      <c r="BI39" s="3126" t="s">
        <v>45</v>
      </c>
      <c r="BJ39" s="3126" t="s">
        <v>46</v>
      </c>
      <c r="BK39" s="3127" t="s">
        <v>47</v>
      </c>
      <c r="BL39" s="3128" t="s">
        <v>36</v>
      </c>
      <c r="BM39" s="3129" t="s">
        <v>37</v>
      </c>
      <c r="BN39" s="3129" t="s">
        <v>38</v>
      </c>
      <c r="BO39" s="3129" t="s">
        <v>39</v>
      </c>
      <c r="BP39" s="3129" t="s">
        <v>40</v>
      </c>
      <c r="BQ39" s="3129" t="s">
        <v>41</v>
      </c>
      <c r="BR39" s="3129" t="s">
        <v>42</v>
      </c>
      <c r="BS39" s="3129" t="s">
        <v>43</v>
      </c>
      <c r="BT39" s="3130" t="s">
        <v>44</v>
      </c>
      <c r="BU39" s="3130" t="s">
        <v>45</v>
      </c>
      <c r="BV39" s="3130" t="s">
        <v>46</v>
      </c>
      <c r="BW39" s="3221" t="s">
        <v>47</v>
      </c>
      <c r="BX39" s="3222" t="s">
        <v>36</v>
      </c>
      <c r="BY39" s="3132" t="s">
        <v>37</v>
      </c>
      <c r="BZ39" s="3132" t="s">
        <v>38</v>
      </c>
      <c r="CA39" s="3132" t="s">
        <v>39</v>
      </c>
      <c r="CB39" s="3132" t="s">
        <v>39</v>
      </c>
      <c r="CC39" s="3132" t="s">
        <v>41</v>
      </c>
      <c r="CD39" s="3132" t="s">
        <v>42</v>
      </c>
      <c r="CE39" s="3132" t="s">
        <v>43</v>
      </c>
      <c r="CF39" s="3132" t="s">
        <v>44</v>
      </c>
      <c r="CG39" s="3132" t="s">
        <v>45</v>
      </c>
      <c r="CH39" s="3132" t="s">
        <v>46</v>
      </c>
      <c r="CI39" s="3132" t="s">
        <v>47</v>
      </c>
      <c r="CJ39" s="3133" t="s">
        <v>36</v>
      </c>
      <c r="CK39" s="3123" t="s">
        <v>37</v>
      </c>
      <c r="CL39" s="3123" t="s">
        <v>38</v>
      </c>
      <c r="CM39" s="3123" t="s">
        <v>39</v>
      </c>
      <c r="CN39" s="3123" t="s">
        <v>40</v>
      </c>
      <c r="CO39" s="3123" t="s">
        <v>41</v>
      </c>
      <c r="CP39" s="3123" t="s">
        <v>42</v>
      </c>
      <c r="CQ39" s="3123" t="s">
        <v>43</v>
      </c>
      <c r="CR39" s="3123" t="s">
        <v>44</v>
      </c>
      <c r="CS39" s="3123" t="s">
        <v>45</v>
      </c>
      <c r="CT39" s="3123" t="s">
        <v>46</v>
      </c>
      <c r="CU39" s="3134" t="s">
        <v>47</v>
      </c>
      <c r="CV39" s="3132" t="s">
        <v>36</v>
      </c>
      <c r="CW39" s="3132" t="s">
        <v>37</v>
      </c>
      <c r="CX39" s="3132" t="s">
        <v>38</v>
      </c>
      <c r="CY39" s="3132" t="s">
        <v>39</v>
      </c>
      <c r="CZ39" s="3132" t="s">
        <v>40</v>
      </c>
      <c r="DA39" s="3132" t="s">
        <v>41</v>
      </c>
      <c r="DB39" s="3132" t="s">
        <v>42</v>
      </c>
      <c r="DC39" s="3132" t="s">
        <v>43</v>
      </c>
      <c r="DD39" s="3132" t="s">
        <v>44</v>
      </c>
      <c r="DE39" s="3132" t="s">
        <v>45</v>
      </c>
      <c r="DF39" s="3132"/>
      <c r="DG39" s="3132"/>
      <c r="DH39" s="2528" t="s">
        <v>36</v>
      </c>
      <c r="DI39" s="2528" t="s">
        <v>37</v>
      </c>
      <c r="DJ39" s="2528" t="s">
        <v>38</v>
      </c>
      <c r="DK39" s="2528" t="s">
        <v>39</v>
      </c>
      <c r="DL39" s="2528" t="s">
        <v>40</v>
      </c>
      <c r="DM39" s="2528" t="s">
        <v>41</v>
      </c>
      <c r="DN39" s="2528" t="s">
        <v>42</v>
      </c>
      <c r="DO39" s="2528" t="s">
        <v>43</v>
      </c>
      <c r="DP39" s="2528" t="s">
        <v>183</v>
      </c>
      <c r="DQ39" s="2528" t="s">
        <v>45</v>
      </c>
      <c r="DR39" s="2528" t="s">
        <v>46</v>
      </c>
      <c r="DS39" s="2528" t="s">
        <v>47</v>
      </c>
      <c r="DT39" s="2527" t="s">
        <v>36</v>
      </c>
      <c r="DU39" s="2527" t="s">
        <v>37</v>
      </c>
      <c r="DV39" s="2527" t="s">
        <v>38</v>
      </c>
      <c r="DW39" s="2527" t="s">
        <v>39</v>
      </c>
      <c r="DX39" s="2527" t="s">
        <v>40</v>
      </c>
      <c r="DY39" s="2527" t="s">
        <v>41</v>
      </c>
      <c r="DZ39" s="2528"/>
      <c r="EA39" s="2528"/>
      <c r="EB39" s="2528"/>
      <c r="EC39" s="2528"/>
      <c r="ED39" s="2528"/>
      <c r="EE39" s="2528"/>
      <c r="EF39" s="2527" t="s">
        <v>36</v>
      </c>
      <c r="EG39" s="2527" t="s">
        <v>37</v>
      </c>
      <c r="EH39" s="2527" t="s">
        <v>38</v>
      </c>
      <c r="EI39" s="2527" t="s">
        <v>39</v>
      </c>
      <c r="EJ39" s="2527" t="s">
        <v>40</v>
      </c>
      <c r="EK39" s="2527" t="s">
        <v>41</v>
      </c>
      <c r="EL39" s="2528"/>
      <c r="EM39" s="2528"/>
      <c r="EN39" s="2528"/>
      <c r="EO39" s="2528"/>
      <c r="EP39" s="2528"/>
      <c r="EQ39" s="2528"/>
      <c r="ER39" s="2527" t="s">
        <v>36</v>
      </c>
      <c r="ES39" s="2527" t="s">
        <v>37</v>
      </c>
      <c r="ET39" s="2527" t="s">
        <v>38</v>
      </c>
      <c r="EU39" s="2527" t="s">
        <v>39</v>
      </c>
      <c r="EV39" s="2527" t="s">
        <v>40</v>
      </c>
      <c r="EW39" s="2527" t="s">
        <v>41</v>
      </c>
      <c r="EX39" s="2528"/>
      <c r="EY39" s="2528"/>
      <c r="EZ39" s="2528"/>
      <c r="FA39" s="2528"/>
      <c r="FB39" s="2528"/>
      <c r="FC39" s="2528"/>
      <c r="FD39" s="2655"/>
      <c r="FE39" s="2655"/>
      <c r="FF39" s="2655"/>
      <c r="FG39" s="2655"/>
      <c r="FH39" s="2655"/>
      <c r="FI39" s="2655"/>
      <c r="FJ39" s="2655"/>
      <c r="FK39" s="2655"/>
      <c r="FL39" s="2655"/>
      <c r="FM39" s="2655"/>
      <c r="FN39" s="2655"/>
      <c r="FO39" s="2655"/>
      <c r="FP39" s="2656"/>
      <c r="FQ39" s="2655"/>
      <c r="FR39" s="2655"/>
      <c r="FS39" s="2655"/>
      <c r="FT39" s="2655"/>
      <c r="FU39" s="2655"/>
      <c r="FV39" s="2655"/>
      <c r="FW39" s="2655"/>
      <c r="FX39" s="2655"/>
      <c r="FY39" s="2655"/>
      <c r="FZ39" s="2655"/>
      <c r="GA39" s="2655"/>
      <c r="GB39" s="2592"/>
      <c r="GC39" s="2569"/>
      <c r="GD39" s="2657" t="s">
        <v>167</v>
      </c>
      <c r="GE39" s="2658" t="s">
        <v>453</v>
      </c>
      <c r="GF39" s="2658" t="s">
        <v>454</v>
      </c>
      <c r="GG39" s="2659" t="s">
        <v>455</v>
      </c>
      <c r="GH39" s="2657" t="s">
        <v>167</v>
      </c>
      <c r="GI39" s="2658" t="s">
        <v>453</v>
      </c>
      <c r="GJ39" s="2658" t="s">
        <v>454</v>
      </c>
      <c r="GK39" s="2659" t="s">
        <v>455</v>
      </c>
      <c r="GL39" s="2660" t="s">
        <v>167</v>
      </c>
      <c r="GM39" s="2661" t="s">
        <v>453</v>
      </c>
      <c r="GN39" s="2661" t="s">
        <v>456</v>
      </c>
      <c r="GO39" s="2661" t="s">
        <v>457</v>
      </c>
      <c r="GP39" s="2662" t="s">
        <v>167</v>
      </c>
      <c r="GQ39" s="2663" t="s">
        <v>458</v>
      </c>
      <c r="GR39" s="2663" t="s">
        <v>459</v>
      </c>
      <c r="GS39" s="2664" t="s">
        <v>455</v>
      </c>
      <c r="GT39" s="2665" t="s">
        <v>167</v>
      </c>
      <c r="GU39" s="2666" t="s">
        <v>453</v>
      </c>
      <c r="GV39" s="2666" t="s">
        <v>456</v>
      </c>
      <c r="GW39" s="2667" t="s">
        <v>457</v>
      </c>
      <c r="GX39" s="2632" t="s">
        <v>167</v>
      </c>
      <c r="GY39" s="2632" t="s">
        <v>453</v>
      </c>
      <c r="GZ39" s="2632" t="s">
        <v>456</v>
      </c>
      <c r="HA39" s="2632" t="s">
        <v>457</v>
      </c>
      <c r="HB39" s="2632" t="s">
        <v>167</v>
      </c>
      <c r="HC39" s="2632" t="s">
        <v>453</v>
      </c>
      <c r="HD39" s="2632" t="s">
        <v>456</v>
      </c>
      <c r="HE39" s="2632" t="s">
        <v>457</v>
      </c>
      <c r="HF39" s="2632" t="s">
        <v>167</v>
      </c>
      <c r="HG39" s="2632" t="s">
        <v>453</v>
      </c>
      <c r="HH39" s="2632" t="s">
        <v>456</v>
      </c>
      <c r="HI39" s="2632" t="s">
        <v>457</v>
      </c>
      <c r="HJ39" s="2632" t="s">
        <v>167</v>
      </c>
      <c r="HK39" s="2632" t="s">
        <v>453</v>
      </c>
      <c r="HL39" s="2632" t="s">
        <v>456</v>
      </c>
      <c r="HM39" s="2635" t="s">
        <v>167</v>
      </c>
      <c r="HN39" s="2635" t="s">
        <v>453</v>
      </c>
      <c r="HO39" s="2635" t="s">
        <v>456</v>
      </c>
      <c r="HP39" s="2635" t="s">
        <v>457</v>
      </c>
      <c r="HQ39" s="2635" t="s">
        <v>167</v>
      </c>
      <c r="HR39" s="2635" t="s">
        <v>453</v>
      </c>
      <c r="HS39" s="2570"/>
      <c r="HT39" s="2569"/>
      <c r="HU39" s="2632"/>
      <c r="HV39" s="2632"/>
      <c r="HW39" s="2632"/>
      <c r="HX39" s="2632"/>
      <c r="HY39" s="2632"/>
      <c r="HZ39" s="2632"/>
      <c r="IA39" s="2632"/>
      <c r="IB39" s="2632"/>
      <c r="IC39" s="2632"/>
      <c r="ID39" s="2632"/>
      <c r="IE39" s="2632"/>
      <c r="IF39" s="2632"/>
      <c r="IG39" s="2632"/>
      <c r="IH39" s="2632"/>
      <c r="II39" s="2632"/>
      <c r="IJ39" s="2632"/>
      <c r="IK39" s="2654" t="s">
        <v>48</v>
      </c>
      <c r="IL39" s="3135" t="s">
        <v>48</v>
      </c>
      <c r="IM39" s="3135" t="s">
        <v>48</v>
      </c>
      <c r="IN39" s="3135" t="s">
        <v>48</v>
      </c>
      <c r="IO39" s="3135" t="s">
        <v>48</v>
      </c>
      <c r="IP39" s="3135" t="s">
        <v>48</v>
      </c>
      <c r="IQ39" s="3135" t="s">
        <v>48</v>
      </c>
      <c r="IR39" s="3135" t="s">
        <v>48</v>
      </c>
      <c r="IS39" s="5487"/>
      <c r="IT39" s="5487" t="s">
        <v>48</v>
      </c>
      <c r="IU39" s="5477"/>
      <c r="IV39" s="3099"/>
      <c r="IW39" s="3099"/>
      <c r="IX39" s="3099"/>
      <c r="IY39" s="3100"/>
      <c r="IZ39" s="3101"/>
      <c r="JA39" s="3578"/>
      <c r="JC39" s="3099"/>
      <c r="JD39" s="2566"/>
      <c r="JE39" s="2566"/>
      <c r="JF39" s="2566"/>
      <c r="JG39" s="2566"/>
      <c r="JH39" s="2566"/>
      <c r="JI39" s="3076"/>
      <c r="JJ39" s="2566"/>
      <c r="JK39" s="2566"/>
      <c r="JL39" s="2566"/>
      <c r="JM39" s="2566"/>
      <c r="JN39" s="2566"/>
      <c r="JO39" s="2566"/>
      <c r="JP39" s="2566"/>
      <c r="JQ39" s="2566"/>
      <c r="JS39" s="2566"/>
      <c r="JT39" s="2566"/>
      <c r="JU39" s="2566"/>
      <c r="JV39" s="2566"/>
      <c r="JW39" s="2566"/>
      <c r="JX39" s="2566"/>
      <c r="JY39" s="2566"/>
      <c r="JZ39" s="2566"/>
      <c r="KA39" s="2566"/>
      <c r="KB39" s="2566"/>
      <c r="KC39" s="2566"/>
      <c r="KD39" s="2566"/>
      <c r="KE39" s="2566"/>
      <c r="KF39" s="2566"/>
      <c r="KG39" s="2566"/>
      <c r="KH39" s="2566"/>
      <c r="KI39" s="2566"/>
      <c r="KJ39" s="2566"/>
      <c r="KK39" s="2566"/>
      <c r="KL39" s="2566"/>
      <c r="KM39" s="2566"/>
      <c r="KN39" s="2566"/>
      <c r="KO39" s="2566"/>
    </row>
    <row r="40" spans="1:301" ht="21.9" hidden="1" customHeight="1">
      <c r="A40" s="2566"/>
      <c r="B40" s="3045"/>
      <c r="C40" s="3136" t="s">
        <v>475</v>
      </c>
      <c r="D40" s="3137">
        <v>20829</v>
      </c>
      <c r="E40" s="3138">
        <v>21637</v>
      </c>
      <c r="F40" s="3138">
        <v>25023</v>
      </c>
      <c r="G40" s="3138">
        <v>20094</v>
      </c>
      <c r="H40" s="3138">
        <v>20825</v>
      </c>
      <c r="I40" s="3138">
        <v>32750</v>
      </c>
      <c r="J40" s="3138">
        <v>40409</v>
      </c>
      <c r="K40" s="3138">
        <v>33102</v>
      </c>
      <c r="L40" s="3138">
        <v>23825</v>
      </c>
      <c r="M40" s="3138">
        <v>25639</v>
      </c>
      <c r="N40" s="3138">
        <v>27763</v>
      </c>
      <c r="O40" s="3139">
        <v>29709</v>
      </c>
      <c r="P40" s="3140">
        <v>26060</v>
      </c>
      <c r="Q40" s="3141">
        <v>35298</v>
      </c>
      <c r="R40" s="3141">
        <v>27832</v>
      </c>
      <c r="S40" s="3141">
        <v>22797</v>
      </c>
      <c r="T40" s="3141">
        <v>26874</v>
      </c>
      <c r="U40" s="3141">
        <v>36617</v>
      </c>
      <c r="V40" s="3141">
        <v>39982</v>
      </c>
      <c r="W40" s="3141">
        <v>31550</v>
      </c>
      <c r="X40" s="3141">
        <v>25910</v>
      </c>
      <c r="Y40" s="3141">
        <v>27723</v>
      </c>
      <c r="Z40" s="3141">
        <v>29160</v>
      </c>
      <c r="AA40" s="3270">
        <v>30583</v>
      </c>
      <c r="AB40" s="3143">
        <v>25687</v>
      </c>
      <c r="AC40" s="3144">
        <v>23336</v>
      </c>
      <c r="AD40" s="3144">
        <v>25122</v>
      </c>
      <c r="AE40" s="3144">
        <v>25032</v>
      </c>
      <c r="AF40" s="3144">
        <v>26550</v>
      </c>
      <c r="AG40" s="3144">
        <v>36546</v>
      </c>
      <c r="AH40" s="3144">
        <v>40480</v>
      </c>
      <c r="AI40" s="3144">
        <v>32979</v>
      </c>
      <c r="AJ40" s="3144">
        <v>23452</v>
      </c>
      <c r="AK40" s="3144">
        <v>25734</v>
      </c>
      <c r="AL40" s="3144">
        <v>28316</v>
      </c>
      <c r="AM40" s="3144">
        <v>32480</v>
      </c>
      <c r="AN40" s="3145">
        <v>26307</v>
      </c>
      <c r="AO40" s="3145">
        <v>28093</v>
      </c>
      <c r="AP40" s="3145">
        <v>28419</v>
      </c>
      <c r="AQ40" s="3145">
        <v>22719</v>
      </c>
      <c r="AR40" s="3145">
        <v>28637</v>
      </c>
      <c r="AS40" s="3145">
        <v>37701</v>
      </c>
      <c r="AT40" s="3145">
        <v>42430</v>
      </c>
      <c r="AU40" s="3145">
        <v>33053</v>
      </c>
      <c r="AV40" s="3145">
        <v>25691</v>
      </c>
      <c r="AW40" s="3145">
        <v>30558</v>
      </c>
      <c r="AX40" s="3145">
        <v>23873.164107887958</v>
      </c>
      <c r="AY40" s="3146">
        <v>35022</v>
      </c>
      <c r="AZ40" s="3147">
        <v>29785</v>
      </c>
      <c r="BA40" s="3148">
        <v>28446</v>
      </c>
      <c r="BB40" s="3148">
        <v>30692</v>
      </c>
      <c r="BC40" s="3148">
        <v>28243</v>
      </c>
      <c r="BD40" s="3148">
        <v>29238</v>
      </c>
      <c r="BE40" s="3148">
        <v>37518</v>
      </c>
      <c r="BF40" s="3148">
        <v>42826</v>
      </c>
      <c r="BG40" s="3148">
        <v>33246</v>
      </c>
      <c r="BH40" s="3148">
        <v>25898</v>
      </c>
      <c r="BI40" s="3148">
        <v>29831</v>
      </c>
      <c r="BJ40" s="3148">
        <v>30140</v>
      </c>
      <c r="BK40" s="3149">
        <v>36539</v>
      </c>
      <c r="BL40" s="3150">
        <v>30980</v>
      </c>
      <c r="BM40" s="3151">
        <v>29241</v>
      </c>
      <c r="BN40" s="3151">
        <v>30216</v>
      </c>
      <c r="BO40" s="3151">
        <v>25991</v>
      </c>
      <c r="BP40" s="3151">
        <v>27389</v>
      </c>
      <c r="BQ40" s="3151">
        <v>40198</v>
      </c>
      <c r="BR40" s="3151">
        <v>43922</v>
      </c>
      <c r="BS40" s="3151">
        <v>32933</v>
      </c>
      <c r="BT40" s="3152">
        <v>25969</v>
      </c>
      <c r="BU40" s="3152">
        <v>30597</v>
      </c>
      <c r="BV40" s="3152">
        <v>29976</v>
      </c>
      <c r="BW40" s="3223">
        <v>41557</v>
      </c>
      <c r="BX40" s="3224">
        <v>31928</v>
      </c>
      <c r="BY40" s="3155">
        <v>29957</v>
      </c>
      <c r="BZ40" s="3155">
        <v>35019</v>
      </c>
      <c r="CA40" s="3155">
        <v>26552</v>
      </c>
      <c r="CB40" s="3155">
        <v>31270</v>
      </c>
      <c r="CC40" s="3155">
        <v>42527</v>
      </c>
      <c r="CD40" s="3155">
        <v>49359</v>
      </c>
      <c r="CE40" s="3155">
        <v>37312</v>
      </c>
      <c r="CF40" s="3155">
        <v>31949</v>
      </c>
      <c r="CG40" s="3155">
        <v>37020</v>
      </c>
      <c r="CH40" s="3155">
        <v>39470</v>
      </c>
      <c r="CI40" s="3156">
        <v>46340</v>
      </c>
      <c r="CJ40" s="3157">
        <v>35074</v>
      </c>
      <c r="CK40" s="3158">
        <v>34120</v>
      </c>
      <c r="CL40" s="3158">
        <v>33458</v>
      </c>
      <c r="CM40" s="3158">
        <v>33984</v>
      </c>
      <c r="CN40" s="3158">
        <v>34139</v>
      </c>
      <c r="CO40" s="3158">
        <v>41752</v>
      </c>
      <c r="CP40" s="3158">
        <v>50973</v>
      </c>
      <c r="CQ40" s="3158">
        <v>39157</v>
      </c>
      <c r="CR40" s="3158">
        <v>36351</v>
      </c>
      <c r="CS40" s="3158">
        <v>40063</v>
      </c>
      <c r="CT40" s="3158">
        <v>42416</v>
      </c>
      <c r="CU40" s="3159">
        <v>57237</v>
      </c>
      <c r="CV40" s="3240">
        <v>39267</v>
      </c>
      <c r="CW40" s="3158">
        <v>36209</v>
      </c>
      <c r="CX40" s="3241">
        <v>41259</v>
      </c>
      <c r="CY40" s="3241">
        <v>37251</v>
      </c>
      <c r="CZ40" s="3241">
        <v>38183</v>
      </c>
      <c r="DA40" s="3241">
        <v>47330</v>
      </c>
      <c r="DB40" s="3241">
        <v>53297</v>
      </c>
      <c r="DC40" s="3241">
        <v>35650</v>
      </c>
      <c r="DD40" s="3161">
        <v>33447</v>
      </c>
      <c r="DE40" s="3161">
        <v>38324</v>
      </c>
      <c r="DF40" s="3148"/>
      <c r="DG40" s="3148"/>
      <c r="DH40" s="3271">
        <v>33818</v>
      </c>
      <c r="DI40" s="3272">
        <v>33169</v>
      </c>
      <c r="DJ40" s="3272">
        <v>37526</v>
      </c>
      <c r="DK40" s="3273">
        <v>25451</v>
      </c>
      <c r="DL40" s="3273">
        <v>28795</v>
      </c>
      <c r="DM40" s="3273">
        <v>40644</v>
      </c>
      <c r="DN40" s="3273">
        <v>46518</v>
      </c>
      <c r="DO40" s="3273">
        <v>29954</v>
      </c>
      <c r="DP40" s="3164">
        <v>25857</v>
      </c>
      <c r="DQ40" s="3164">
        <v>31236</v>
      </c>
      <c r="DR40" s="3164">
        <v>30183</v>
      </c>
      <c r="DS40" s="3163">
        <v>41575</v>
      </c>
      <c r="DT40" s="3165">
        <v>33498</v>
      </c>
      <c r="DU40" s="3165">
        <v>30798</v>
      </c>
      <c r="DV40" s="3165">
        <v>35091</v>
      </c>
      <c r="DW40" s="3165">
        <v>33813</v>
      </c>
      <c r="DX40" s="3165">
        <v>29829</v>
      </c>
      <c r="DY40" s="3165">
        <v>43710</v>
      </c>
      <c r="DZ40" s="3166"/>
      <c r="EA40" s="3166"/>
      <c r="EB40" s="3166"/>
      <c r="EC40" s="3166"/>
      <c r="ED40" s="3166"/>
      <c r="EE40" s="3166"/>
      <c r="EF40" s="3165">
        <v>33498</v>
      </c>
      <c r="EG40" s="3165">
        <v>30798</v>
      </c>
      <c r="EH40" s="3165">
        <v>35091</v>
      </c>
      <c r="EI40" s="3165">
        <v>33813</v>
      </c>
      <c r="EJ40" s="3165">
        <v>29829</v>
      </c>
      <c r="EK40" s="3165">
        <v>43710</v>
      </c>
      <c r="EL40" s="3166"/>
      <c r="EM40" s="3166"/>
      <c r="EN40" s="3166"/>
      <c r="EO40" s="3166"/>
      <c r="EP40" s="3166"/>
      <c r="EQ40" s="3166"/>
      <c r="ER40" s="3165">
        <v>33498</v>
      </c>
      <c r="ES40" s="3165">
        <v>30798</v>
      </c>
      <c r="ET40" s="3165">
        <v>35091</v>
      </c>
      <c r="EU40" s="3165">
        <v>33813</v>
      </c>
      <c r="EV40" s="3165">
        <v>29829</v>
      </c>
      <c r="EW40" s="3165">
        <v>43710</v>
      </c>
      <c r="EX40" s="3166"/>
      <c r="EY40" s="3166"/>
      <c r="EZ40" s="3166"/>
      <c r="FA40" s="3166"/>
      <c r="FB40" s="3166"/>
      <c r="FC40" s="3166"/>
      <c r="FD40" s="2669"/>
      <c r="FE40" s="2669"/>
      <c r="FF40" s="2669"/>
      <c r="FG40" s="2669"/>
      <c r="FH40" s="2669"/>
      <c r="FI40" s="2669"/>
      <c r="FJ40" s="2669"/>
      <c r="FK40" s="2669"/>
      <c r="FL40" s="2669"/>
      <c r="FM40" s="2669"/>
      <c r="FN40" s="2669"/>
      <c r="FO40" s="2669"/>
      <c r="FP40" s="2670"/>
      <c r="FQ40" s="2669"/>
      <c r="FR40" s="2669"/>
      <c r="FS40" s="2669"/>
      <c r="FT40" s="2669"/>
      <c r="FU40" s="2669"/>
      <c r="FV40" s="2669"/>
      <c r="FW40" s="2669"/>
      <c r="FX40" s="2669"/>
      <c r="FY40" s="2669"/>
      <c r="FZ40" s="2669"/>
      <c r="GA40" s="2669"/>
      <c r="GB40" s="2595"/>
      <c r="GC40" s="2569"/>
      <c r="GD40" s="2671">
        <v>67489</v>
      </c>
      <c r="GE40" s="2672">
        <v>73669</v>
      </c>
      <c r="GF40" s="2672">
        <v>97336</v>
      </c>
      <c r="GG40" s="2673">
        <v>83111</v>
      </c>
      <c r="GH40" s="2674">
        <v>89190</v>
      </c>
      <c r="GI40" s="2675">
        <v>86288</v>
      </c>
      <c r="GJ40" s="2675">
        <v>97442</v>
      </c>
      <c r="GK40" s="2676">
        <v>87466</v>
      </c>
      <c r="GL40" s="2677">
        <v>74145</v>
      </c>
      <c r="GM40" s="2678">
        <v>88128</v>
      </c>
      <c r="GN40" s="2679">
        <v>96911</v>
      </c>
      <c r="GO40" s="2679">
        <v>86530</v>
      </c>
      <c r="GP40" s="2680">
        <v>82819</v>
      </c>
      <c r="GQ40" s="2681">
        <v>89057</v>
      </c>
      <c r="GR40" s="2681">
        <v>101174</v>
      </c>
      <c r="GS40" s="2682">
        <v>89453.164107887962</v>
      </c>
      <c r="GT40" s="2683">
        <v>88923</v>
      </c>
      <c r="GU40" s="2684">
        <v>94999</v>
      </c>
      <c r="GV40" s="2684">
        <v>101970</v>
      </c>
      <c r="GW40" s="2685">
        <v>96510</v>
      </c>
      <c r="GX40" s="2681">
        <v>90437</v>
      </c>
      <c r="GY40" s="2681">
        <v>93578</v>
      </c>
      <c r="GZ40" s="2681">
        <v>102824</v>
      </c>
      <c r="HA40" s="2681">
        <v>102130</v>
      </c>
      <c r="HB40" s="2686">
        <v>96904</v>
      </c>
      <c r="HC40" s="2686">
        <v>100349</v>
      </c>
      <c r="HD40" s="2686">
        <v>118620</v>
      </c>
      <c r="HE40" s="2686">
        <v>122830</v>
      </c>
      <c r="HF40" s="2687">
        <v>102652</v>
      </c>
      <c r="HG40" s="2687">
        <v>109875</v>
      </c>
      <c r="HH40" s="2687">
        <v>130193</v>
      </c>
      <c r="HI40" s="2687">
        <v>139716</v>
      </c>
      <c r="HJ40" s="2688">
        <v>116735</v>
      </c>
      <c r="HK40" s="2688">
        <v>113758</v>
      </c>
      <c r="HL40" s="2688">
        <v>127271</v>
      </c>
      <c r="HM40" s="2689">
        <f t="shared" ref="HM40:HM46" si="9">+DH40+DI40+DJ40</f>
        <v>104513</v>
      </c>
      <c r="HN40" s="2689">
        <f t="shared" ref="HN40:HN46" si="10">+DM40+DL40+DK40</f>
        <v>94890</v>
      </c>
      <c r="HO40" s="2689">
        <f t="shared" ref="HO40:HO46" si="11">+DP40+DO40+DN40</f>
        <v>102329</v>
      </c>
      <c r="HP40" s="2689">
        <f t="shared" ref="HP40:HP46" si="12">+DQ40+DR40+DS40</f>
        <v>102994</v>
      </c>
      <c r="HQ40" s="2690">
        <f t="shared" ref="HQ40:HQ46" si="13">+DT40+DU40+DV40</f>
        <v>99387</v>
      </c>
      <c r="HR40" s="2690">
        <f t="shared" ref="HR40:HR46" si="14">+DW40+DX40+DY40</f>
        <v>107352</v>
      </c>
      <c r="HS40" s="2570"/>
      <c r="HT40" s="2569"/>
      <c r="HU40" s="2681"/>
      <c r="HV40" s="2686"/>
      <c r="HW40" s="2686"/>
      <c r="HX40" s="2686"/>
      <c r="HY40" s="2681"/>
      <c r="HZ40" s="2686"/>
      <c r="IA40" s="2686"/>
      <c r="IB40" s="2686"/>
      <c r="IC40" s="2686"/>
      <c r="ID40" s="2686"/>
      <c r="IE40" s="2686"/>
      <c r="IF40" s="2686"/>
      <c r="IG40" s="2686"/>
      <c r="IH40" s="2686"/>
      <c r="II40" s="2686"/>
      <c r="IJ40" s="2686"/>
      <c r="IK40" s="2691">
        <v>321605</v>
      </c>
      <c r="IL40" s="3167">
        <v>360386</v>
      </c>
      <c r="IM40" s="3167">
        <v>345714</v>
      </c>
      <c r="IN40" s="3167">
        <v>362503.16410788795</v>
      </c>
      <c r="IO40" s="3167">
        <v>382402</v>
      </c>
      <c r="IP40" s="3167">
        <v>388969</v>
      </c>
      <c r="IQ40" s="3167">
        <v>438703</v>
      </c>
      <c r="IR40" s="3167">
        <v>478724</v>
      </c>
      <c r="IS40" s="3168">
        <v>499870</v>
      </c>
      <c r="IT40" s="3168">
        <f t="shared" ref="IT40:IT46" si="15">SUM(DI40:DT40)</f>
        <v>404406</v>
      </c>
      <c r="IU40" s="3169">
        <f t="shared" ref="IU40:IU46" si="16">SUM(DO40:EE40)</f>
        <v>365544</v>
      </c>
      <c r="IV40" s="3099"/>
      <c r="IW40" s="3099"/>
      <c r="IX40" s="3099"/>
      <c r="IY40" s="3100"/>
      <c r="IZ40" s="3101"/>
      <c r="JA40" s="3578"/>
      <c r="JC40" s="3099"/>
      <c r="JD40" s="3045"/>
      <c r="JE40" s="3045"/>
      <c r="JF40" s="3045"/>
      <c r="JG40" s="3045"/>
      <c r="JH40" s="2566"/>
      <c r="JI40" s="3076"/>
      <c r="JJ40" s="2566"/>
      <c r="JK40" s="2566"/>
      <c r="JL40" s="2566"/>
      <c r="JM40" s="2566"/>
      <c r="JN40" s="2566"/>
      <c r="JO40" s="2566"/>
      <c r="JP40" s="2566"/>
      <c r="JQ40" s="2566"/>
      <c r="JS40" s="3045"/>
      <c r="JT40" s="3045"/>
      <c r="JU40" s="3045"/>
      <c r="JV40" s="3045"/>
      <c r="JW40" s="3045"/>
      <c r="JX40" s="3045"/>
      <c r="JY40" s="3045"/>
      <c r="JZ40" s="3045"/>
      <c r="KA40" s="3045"/>
      <c r="KB40" s="3045"/>
      <c r="KC40" s="3045"/>
      <c r="KD40" s="3045"/>
      <c r="KE40" s="3045"/>
      <c r="KF40" s="3045"/>
      <c r="KG40" s="3045"/>
      <c r="KH40" s="3045"/>
      <c r="KI40" s="3045"/>
      <c r="KJ40" s="3045"/>
      <c r="KK40" s="3045"/>
      <c r="KL40" s="3045"/>
      <c r="KM40" s="3045"/>
      <c r="KN40" s="3045"/>
      <c r="KO40" s="3045"/>
    </row>
    <row r="41" spans="1:301" ht="21.9" hidden="1" customHeight="1">
      <c r="A41" s="2566"/>
      <c r="B41" s="3045"/>
      <c r="C41" s="3136" t="s">
        <v>83</v>
      </c>
      <c r="D41" s="3137">
        <v>192</v>
      </c>
      <c r="E41" s="3138">
        <v>54</v>
      </c>
      <c r="F41" s="3138">
        <v>61</v>
      </c>
      <c r="G41" s="3138">
        <v>46</v>
      </c>
      <c r="H41" s="3138">
        <v>58</v>
      </c>
      <c r="I41" s="3138">
        <v>81</v>
      </c>
      <c r="J41" s="3138">
        <v>84</v>
      </c>
      <c r="K41" s="3138">
        <v>254</v>
      </c>
      <c r="L41" s="3138">
        <v>150</v>
      </c>
      <c r="M41" s="3138">
        <v>67</v>
      </c>
      <c r="N41" s="3138">
        <v>53</v>
      </c>
      <c r="O41" s="3139">
        <v>30</v>
      </c>
      <c r="P41" s="3140">
        <v>237</v>
      </c>
      <c r="Q41" s="3141">
        <v>128</v>
      </c>
      <c r="R41" s="3141">
        <v>73</v>
      </c>
      <c r="S41" s="3141">
        <v>40</v>
      </c>
      <c r="T41" s="3141">
        <v>66</v>
      </c>
      <c r="U41" s="3141">
        <v>46</v>
      </c>
      <c r="V41" s="3141">
        <v>50</v>
      </c>
      <c r="W41" s="3141">
        <v>211</v>
      </c>
      <c r="X41" s="3141">
        <v>90</v>
      </c>
      <c r="Y41" s="3141">
        <v>48</v>
      </c>
      <c r="Z41" s="3141">
        <v>51</v>
      </c>
      <c r="AA41" s="3270">
        <v>25</v>
      </c>
      <c r="AB41" s="3143">
        <v>188</v>
      </c>
      <c r="AC41" s="3144">
        <v>75</v>
      </c>
      <c r="AD41" s="3144">
        <v>39</v>
      </c>
      <c r="AE41" s="3144">
        <v>40</v>
      </c>
      <c r="AF41" s="3144">
        <v>66</v>
      </c>
      <c r="AG41" s="3144">
        <v>54</v>
      </c>
      <c r="AH41" s="3144">
        <v>44</v>
      </c>
      <c r="AI41" s="3144">
        <v>280</v>
      </c>
      <c r="AJ41" s="3144">
        <v>92</v>
      </c>
      <c r="AK41" s="3144">
        <v>75</v>
      </c>
      <c r="AL41" s="3144">
        <v>46</v>
      </c>
      <c r="AM41" s="3144">
        <v>35</v>
      </c>
      <c r="AN41" s="3145">
        <v>197</v>
      </c>
      <c r="AO41" s="3145">
        <v>50</v>
      </c>
      <c r="AP41" s="3145">
        <v>44</v>
      </c>
      <c r="AQ41" s="3145">
        <v>32</v>
      </c>
      <c r="AR41" s="3145">
        <v>83</v>
      </c>
      <c r="AS41" s="3145">
        <v>39</v>
      </c>
      <c r="AT41" s="3145">
        <v>73</v>
      </c>
      <c r="AU41" s="3145">
        <v>279</v>
      </c>
      <c r="AV41" s="3145">
        <v>128</v>
      </c>
      <c r="AW41" s="3145">
        <v>91</v>
      </c>
      <c r="AX41" s="3145">
        <v>50.29619277685719</v>
      </c>
      <c r="AY41" s="3146">
        <v>47</v>
      </c>
      <c r="AZ41" s="3147">
        <v>385</v>
      </c>
      <c r="BA41" s="3148">
        <v>99</v>
      </c>
      <c r="BB41" s="3148">
        <v>88</v>
      </c>
      <c r="BC41" s="3148">
        <v>73</v>
      </c>
      <c r="BD41" s="3148">
        <v>60</v>
      </c>
      <c r="BE41" s="3148">
        <v>94</v>
      </c>
      <c r="BF41" s="3148">
        <v>69</v>
      </c>
      <c r="BG41" s="3148">
        <v>418</v>
      </c>
      <c r="BH41" s="3148">
        <v>134</v>
      </c>
      <c r="BI41" s="3148">
        <v>100</v>
      </c>
      <c r="BJ41" s="3148">
        <v>88</v>
      </c>
      <c r="BK41" s="3149">
        <v>65</v>
      </c>
      <c r="BL41" s="3150">
        <v>315</v>
      </c>
      <c r="BM41" s="3151">
        <v>297</v>
      </c>
      <c r="BN41" s="3151">
        <v>110</v>
      </c>
      <c r="BO41" s="3151">
        <v>105</v>
      </c>
      <c r="BP41" s="3151">
        <v>179</v>
      </c>
      <c r="BQ41" s="3151">
        <v>242</v>
      </c>
      <c r="BR41" s="3151">
        <v>150</v>
      </c>
      <c r="BS41" s="3151">
        <v>382</v>
      </c>
      <c r="BT41" s="3152">
        <v>198</v>
      </c>
      <c r="BU41" s="3152">
        <v>139</v>
      </c>
      <c r="BV41" s="3152">
        <v>172</v>
      </c>
      <c r="BW41" s="3223">
        <v>68</v>
      </c>
      <c r="BX41" s="3224">
        <v>416</v>
      </c>
      <c r="BY41" s="3155">
        <v>94</v>
      </c>
      <c r="BZ41" s="3155">
        <v>173</v>
      </c>
      <c r="CA41" s="3155">
        <v>135</v>
      </c>
      <c r="CB41" s="3155">
        <v>254</v>
      </c>
      <c r="CC41" s="3155">
        <v>283</v>
      </c>
      <c r="CD41" s="3155">
        <v>161</v>
      </c>
      <c r="CE41" s="3155">
        <v>477</v>
      </c>
      <c r="CF41" s="3155">
        <v>260</v>
      </c>
      <c r="CG41" s="3155">
        <v>193</v>
      </c>
      <c r="CH41" s="3155">
        <v>129</v>
      </c>
      <c r="CI41" s="3156">
        <v>86</v>
      </c>
      <c r="CJ41" s="3157">
        <v>406</v>
      </c>
      <c r="CK41" s="3158">
        <v>175</v>
      </c>
      <c r="CL41" s="3158">
        <v>211</v>
      </c>
      <c r="CM41" s="3158">
        <v>127</v>
      </c>
      <c r="CN41" s="3158">
        <v>308</v>
      </c>
      <c r="CO41" s="3158">
        <v>258</v>
      </c>
      <c r="CP41" s="3158">
        <v>153</v>
      </c>
      <c r="CQ41" s="3158">
        <v>476</v>
      </c>
      <c r="CR41" s="3158">
        <v>217</v>
      </c>
      <c r="CS41" s="3158">
        <v>198</v>
      </c>
      <c r="CT41" s="3158">
        <v>126</v>
      </c>
      <c r="CU41" s="3159">
        <v>98</v>
      </c>
      <c r="CV41" s="3240">
        <v>387</v>
      </c>
      <c r="CW41" s="3158">
        <v>154</v>
      </c>
      <c r="CX41" s="3241">
        <v>213</v>
      </c>
      <c r="CY41" s="3241">
        <v>124</v>
      </c>
      <c r="CZ41" s="3241">
        <v>215</v>
      </c>
      <c r="DA41" s="3241">
        <v>215</v>
      </c>
      <c r="DB41" s="3241">
        <v>174</v>
      </c>
      <c r="DC41" s="3241">
        <v>453</v>
      </c>
      <c r="DD41" s="3161">
        <v>193</v>
      </c>
      <c r="DE41" s="3161">
        <v>182</v>
      </c>
      <c r="DF41" s="3148"/>
      <c r="DG41" s="3148"/>
      <c r="DH41" s="3271">
        <v>343</v>
      </c>
      <c r="DI41" s="3272">
        <v>139</v>
      </c>
      <c r="DJ41" s="3272">
        <v>147</v>
      </c>
      <c r="DK41" s="3273">
        <v>95</v>
      </c>
      <c r="DL41" s="3273">
        <v>207</v>
      </c>
      <c r="DM41" s="3273">
        <v>224</v>
      </c>
      <c r="DN41" s="3273">
        <v>201</v>
      </c>
      <c r="DO41" s="3273">
        <v>337</v>
      </c>
      <c r="DP41" s="3164">
        <v>152</v>
      </c>
      <c r="DQ41" s="3164">
        <v>192</v>
      </c>
      <c r="DR41" s="3164">
        <v>108</v>
      </c>
      <c r="DS41" s="3163">
        <v>66</v>
      </c>
      <c r="DT41" s="3165">
        <v>262</v>
      </c>
      <c r="DU41" s="3165">
        <v>131</v>
      </c>
      <c r="DV41" s="3165">
        <v>164</v>
      </c>
      <c r="DW41" s="3165">
        <v>132</v>
      </c>
      <c r="DX41" s="3165">
        <v>175</v>
      </c>
      <c r="DY41" s="3165">
        <v>184</v>
      </c>
      <c r="DZ41" s="3166"/>
      <c r="EA41" s="3166"/>
      <c r="EB41" s="3166"/>
      <c r="EC41" s="3166"/>
      <c r="ED41" s="3166"/>
      <c r="EE41" s="3166"/>
      <c r="EF41" s="3165">
        <v>262</v>
      </c>
      <c r="EG41" s="3165">
        <v>131</v>
      </c>
      <c r="EH41" s="3165">
        <v>164</v>
      </c>
      <c r="EI41" s="3165">
        <v>132</v>
      </c>
      <c r="EJ41" s="3165">
        <v>175</v>
      </c>
      <c r="EK41" s="3165">
        <v>184</v>
      </c>
      <c r="EL41" s="3166"/>
      <c r="EM41" s="3166"/>
      <c r="EN41" s="3166"/>
      <c r="EO41" s="3166"/>
      <c r="EP41" s="3166"/>
      <c r="EQ41" s="3166"/>
      <c r="ER41" s="3165">
        <v>262</v>
      </c>
      <c r="ES41" s="3165">
        <v>131</v>
      </c>
      <c r="ET41" s="3165">
        <v>164</v>
      </c>
      <c r="EU41" s="3165">
        <v>132</v>
      </c>
      <c r="EV41" s="3165">
        <v>175</v>
      </c>
      <c r="EW41" s="3165">
        <v>184</v>
      </c>
      <c r="EX41" s="3166"/>
      <c r="EY41" s="3166"/>
      <c r="EZ41" s="3166"/>
      <c r="FA41" s="3166"/>
      <c r="FB41" s="3166"/>
      <c r="FC41" s="3166"/>
      <c r="FD41" s="2669"/>
      <c r="FE41" s="2669"/>
      <c r="FF41" s="2669"/>
      <c r="FG41" s="2669"/>
      <c r="FH41" s="2669"/>
      <c r="FI41" s="2669"/>
      <c r="FJ41" s="2669"/>
      <c r="FK41" s="2669"/>
      <c r="FL41" s="2669"/>
      <c r="FM41" s="2669"/>
      <c r="FN41" s="2669"/>
      <c r="FO41" s="2669"/>
      <c r="FP41" s="2670"/>
      <c r="FQ41" s="2669"/>
      <c r="FR41" s="2669"/>
      <c r="FS41" s="2669"/>
      <c r="FT41" s="2669"/>
      <c r="FU41" s="2669"/>
      <c r="FV41" s="2669"/>
      <c r="FW41" s="2669"/>
      <c r="FX41" s="2669"/>
      <c r="FY41" s="2669"/>
      <c r="FZ41" s="2669"/>
      <c r="GA41" s="2669"/>
      <c r="GB41" s="2595"/>
      <c r="GC41" s="2569"/>
      <c r="GD41" s="2671">
        <v>307</v>
      </c>
      <c r="GE41" s="2672">
        <v>185</v>
      </c>
      <c r="GF41" s="2672">
        <v>488</v>
      </c>
      <c r="GG41" s="2673">
        <v>150</v>
      </c>
      <c r="GH41" s="2674">
        <v>438</v>
      </c>
      <c r="GI41" s="2675">
        <v>152</v>
      </c>
      <c r="GJ41" s="2675">
        <v>351</v>
      </c>
      <c r="GK41" s="2676">
        <v>124</v>
      </c>
      <c r="GL41" s="2677">
        <v>302</v>
      </c>
      <c r="GM41" s="2678">
        <v>160</v>
      </c>
      <c r="GN41" s="2679">
        <v>416</v>
      </c>
      <c r="GO41" s="2679">
        <v>156</v>
      </c>
      <c r="GP41" s="2680">
        <v>291</v>
      </c>
      <c r="GQ41" s="2681">
        <v>154</v>
      </c>
      <c r="GR41" s="2681">
        <v>480</v>
      </c>
      <c r="GS41" s="2682">
        <v>188.2961927768572</v>
      </c>
      <c r="GT41" s="2683">
        <v>572</v>
      </c>
      <c r="GU41" s="2684">
        <v>227</v>
      </c>
      <c r="GV41" s="2684">
        <v>621</v>
      </c>
      <c r="GW41" s="2685">
        <v>253</v>
      </c>
      <c r="GX41" s="2681">
        <v>722</v>
      </c>
      <c r="GY41" s="2681">
        <v>526</v>
      </c>
      <c r="GZ41" s="2681">
        <v>730</v>
      </c>
      <c r="HA41" s="2681">
        <v>379</v>
      </c>
      <c r="HB41" s="2686">
        <v>683</v>
      </c>
      <c r="HC41" s="2686">
        <v>672</v>
      </c>
      <c r="HD41" s="2686">
        <v>898</v>
      </c>
      <c r="HE41" s="2686">
        <v>408</v>
      </c>
      <c r="HF41" s="2687">
        <v>792</v>
      </c>
      <c r="HG41" s="2687">
        <v>693</v>
      </c>
      <c r="HH41" s="2687">
        <v>827</v>
      </c>
      <c r="HI41" s="2687">
        <v>422</v>
      </c>
      <c r="HJ41" s="2688">
        <v>754</v>
      </c>
      <c r="HK41" s="2688">
        <v>521</v>
      </c>
      <c r="HL41" s="2688">
        <v>809</v>
      </c>
      <c r="HM41" s="2689">
        <f t="shared" si="9"/>
        <v>629</v>
      </c>
      <c r="HN41" s="2689">
        <f t="shared" si="10"/>
        <v>526</v>
      </c>
      <c r="HO41" s="2689">
        <f t="shared" si="11"/>
        <v>690</v>
      </c>
      <c r="HP41" s="2689">
        <f t="shared" si="12"/>
        <v>366</v>
      </c>
      <c r="HQ41" s="2690">
        <f t="shared" si="13"/>
        <v>557</v>
      </c>
      <c r="HR41" s="2690">
        <f t="shared" si="14"/>
        <v>491</v>
      </c>
      <c r="HS41" s="2570"/>
      <c r="HT41" s="2569"/>
      <c r="HU41" s="2681"/>
      <c r="HV41" s="2686"/>
      <c r="HW41" s="2686"/>
      <c r="HX41" s="2686"/>
      <c r="HY41" s="2681"/>
      <c r="HZ41" s="2686"/>
      <c r="IA41" s="2686"/>
      <c r="IB41" s="2686"/>
      <c r="IC41" s="2686"/>
      <c r="ID41" s="2686"/>
      <c r="IE41" s="2686"/>
      <c r="IF41" s="2686"/>
      <c r="IG41" s="2686"/>
      <c r="IH41" s="2686"/>
      <c r="II41" s="2686"/>
      <c r="IJ41" s="2686"/>
      <c r="IK41" s="2691">
        <v>1130</v>
      </c>
      <c r="IL41" s="3167">
        <v>1065</v>
      </c>
      <c r="IM41" s="3167">
        <v>1034</v>
      </c>
      <c r="IN41" s="3167">
        <v>1113.2961927768572</v>
      </c>
      <c r="IO41" s="3167">
        <v>1673</v>
      </c>
      <c r="IP41" s="3167">
        <v>2357</v>
      </c>
      <c r="IQ41" s="3167">
        <v>2661</v>
      </c>
      <c r="IR41" s="3167">
        <v>2753</v>
      </c>
      <c r="IS41" s="3168">
        <v>2534</v>
      </c>
      <c r="IT41" s="3168">
        <f t="shared" si="15"/>
        <v>2130</v>
      </c>
      <c r="IU41" s="3169">
        <f t="shared" si="16"/>
        <v>1903</v>
      </c>
      <c r="IV41" s="3099"/>
      <c r="IW41" s="3099"/>
      <c r="IX41" s="3099"/>
      <c r="IY41" s="3100"/>
      <c r="IZ41" s="3101"/>
      <c r="JA41" s="3578"/>
      <c r="JC41" s="3099"/>
      <c r="JD41" s="3045"/>
      <c r="JE41" s="3045"/>
      <c r="JF41" s="3045"/>
      <c r="JG41" s="3045"/>
      <c r="JH41" s="2566"/>
      <c r="JI41" s="3076"/>
      <c r="JJ41" s="2566"/>
      <c r="JK41" s="2566"/>
      <c r="JL41" s="2566"/>
      <c r="JM41" s="2566"/>
      <c r="JN41" s="2566"/>
      <c r="JO41" s="2566"/>
      <c r="JP41" s="2566"/>
      <c r="JQ41" s="2566"/>
      <c r="JS41" s="3045"/>
      <c r="JT41" s="3045"/>
      <c r="JU41" s="3045"/>
      <c r="JV41" s="3045"/>
      <c r="JW41" s="3045"/>
      <c r="JX41" s="3045"/>
      <c r="JY41" s="3045"/>
      <c r="JZ41" s="3045"/>
      <c r="KA41" s="3045"/>
      <c r="KB41" s="3045"/>
      <c r="KC41" s="3045"/>
      <c r="KD41" s="3045"/>
      <c r="KE41" s="3045"/>
      <c r="KF41" s="3045"/>
      <c r="KG41" s="3045"/>
      <c r="KH41" s="3045"/>
      <c r="KI41" s="3045"/>
      <c r="KJ41" s="3045"/>
      <c r="KK41" s="3045"/>
      <c r="KL41" s="3045"/>
      <c r="KM41" s="3045"/>
      <c r="KN41" s="3045"/>
      <c r="KO41" s="3045"/>
    </row>
    <row r="42" spans="1:301" ht="21.9" hidden="1" customHeight="1">
      <c r="A42" s="2566"/>
      <c r="B42" s="3045"/>
      <c r="C42" s="3136" t="s">
        <v>80</v>
      </c>
      <c r="D42" s="3137">
        <v>985</v>
      </c>
      <c r="E42" s="3138">
        <v>1104</v>
      </c>
      <c r="F42" s="3138">
        <v>1209</v>
      </c>
      <c r="G42" s="3138">
        <v>1022</v>
      </c>
      <c r="H42" s="3138">
        <v>1335</v>
      </c>
      <c r="I42" s="3138">
        <v>1053</v>
      </c>
      <c r="J42" s="3138">
        <v>1050</v>
      </c>
      <c r="K42" s="3138">
        <v>962</v>
      </c>
      <c r="L42" s="3138">
        <v>1238</v>
      </c>
      <c r="M42" s="3138">
        <v>1260</v>
      </c>
      <c r="N42" s="3138">
        <v>1054</v>
      </c>
      <c r="O42" s="3139">
        <v>542</v>
      </c>
      <c r="P42" s="3140">
        <v>788</v>
      </c>
      <c r="Q42" s="3141">
        <v>1501</v>
      </c>
      <c r="R42" s="3141">
        <v>953</v>
      </c>
      <c r="S42" s="3141">
        <v>1091</v>
      </c>
      <c r="T42" s="3141">
        <v>1044</v>
      </c>
      <c r="U42" s="3141">
        <v>703</v>
      </c>
      <c r="V42" s="3141">
        <v>875</v>
      </c>
      <c r="W42" s="3141">
        <v>785</v>
      </c>
      <c r="X42" s="3141">
        <v>1113</v>
      </c>
      <c r="Y42" s="3141">
        <v>856</v>
      </c>
      <c r="Z42" s="3141">
        <v>1272</v>
      </c>
      <c r="AA42" s="3270">
        <v>563</v>
      </c>
      <c r="AB42" s="3143">
        <v>568</v>
      </c>
      <c r="AC42" s="3144">
        <v>946</v>
      </c>
      <c r="AD42" s="3144">
        <v>1147</v>
      </c>
      <c r="AE42" s="3144">
        <v>565</v>
      </c>
      <c r="AF42" s="3144">
        <v>801</v>
      </c>
      <c r="AG42" s="3144">
        <v>748</v>
      </c>
      <c r="AH42" s="3144">
        <v>623</v>
      </c>
      <c r="AI42" s="3144">
        <v>648</v>
      </c>
      <c r="AJ42" s="3144">
        <v>764</v>
      </c>
      <c r="AK42" s="3144">
        <v>934</v>
      </c>
      <c r="AL42" s="3144">
        <v>752</v>
      </c>
      <c r="AM42" s="3144">
        <v>470</v>
      </c>
      <c r="AN42" s="3145">
        <v>464</v>
      </c>
      <c r="AO42" s="3145">
        <v>562</v>
      </c>
      <c r="AP42" s="3145">
        <v>557</v>
      </c>
      <c r="AQ42" s="3145">
        <v>754</v>
      </c>
      <c r="AR42" s="3145">
        <v>909</v>
      </c>
      <c r="AS42" s="3145">
        <v>740</v>
      </c>
      <c r="AT42" s="3145">
        <v>581</v>
      </c>
      <c r="AU42" s="3145">
        <v>666</v>
      </c>
      <c r="AV42" s="3145">
        <v>1007</v>
      </c>
      <c r="AW42" s="3145">
        <v>1033</v>
      </c>
      <c r="AX42" s="3145">
        <v>649.27812493761098</v>
      </c>
      <c r="AY42" s="3146">
        <v>501</v>
      </c>
      <c r="AZ42" s="3147">
        <v>838</v>
      </c>
      <c r="BA42" s="3148">
        <v>1156</v>
      </c>
      <c r="BB42" s="3148">
        <v>1230</v>
      </c>
      <c r="BC42" s="3148">
        <v>1001</v>
      </c>
      <c r="BD42" s="3148">
        <v>1072</v>
      </c>
      <c r="BE42" s="3148">
        <v>986</v>
      </c>
      <c r="BF42" s="3148">
        <v>987</v>
      </c>
      <c r="BG42" s="3148">
        <v>1081</v>
      </c>
      <c r="BH42" s="3148">
        <v>1340</v>
      </c>
      <c r="BI42" s="3148">
        <v>1699</v>
      </c>
      <c r="BJ42" s="3148">
        <v>2374</v>
      </c>
      <c r="BK42" s="3149">
        <v>1374</v>
      </c>
      <c r="BL42" s="3150">
        <v>1950</v>
      </c>
      <c r="BM42" s="3151">
        <v>1841</v>
      </c>
      <c r="BN42" s="3151">
        <v>2917</v>
      </c>
      <c r="BO42" s="3151">
        <v>2296</v>
      </c>
      <c r="BP42" s="3151">
        <v>3131</v>
      </c>
      <c r="BQ42" s="3151">
        <v>2581</v>
      </c>
      <c r="BR42" s="3151">
        <v>2422</v>
      </c>
      <c r="BS42" s="3151">
        <v>1917</v>
      </c>
      <c r="BT42" s="3152">
        <v>2426</v>
      </c>
      <c r="BU42" s="3152">
        <v>2997</v>
      </c>
      <c r="BV42" s="3152">
        <v>4373</v>
      </c>
      <c r="BW42" s="3223">
        <v>2424</v>
      </c>
      <c r="BX42" s="3224">
        <v>3388</v>
      </c>
      <c r="BY42" s="3155">
        <v>3341</v>
      </c>
      <c r="BZ42" s="3155">
        <v>3874</v>
      </c>
      <c r="CA42" s="3155">
        <v>4632</v>
      </c>
      <c r="CB42" s="3155">
        <v>4453</v>
      </c>
      <c r="CC42" s="3155">
        <v>3996</v>
      </c>
      <c r="CD42" s="3155">
        <v>3740</v>
      </c>
      <c r="CE42" s="3155">
        <v>3336</v>
      </c>
      <c r="CF42" s="3155">
        <v>4692</v>
      </c>
      <c r="CG42" s="3155">
        <v>4492</v>
      </c>
      <c r="CH42" s="3155">
        <v>4299</v>
      </c>
      <c r="CI42" s="3156">
        <v>2714</v>
      </c>
      <c r="CJ42" s="3157">
        <v>3840</v>
      </c>
      <c r="CK42" s="3158">
        <v>4258</v>
      </c>
      <c r="CL42" s="3158">
        <v>4719</v>
      </c>
      <c r="CM42" s="3158">
        <v>3926</v>
      </c>
      <c r="CN42" s="3158">
        <v>4807</v>
      </c>
      <c r="CO42" s="3158">
        <v>3883</v>
      </c>
      <c r="CP42" s="3158">
        <v>4119</v>
      </c>
      <c r="CQ42" s="3158">
        <v>3784</v>
      </c>
      <c r="CR42" s="3158">
        <v>5257</v>
      </c>
      <c r="CS42" s="3158">
        <v>4904</v>
      </c>
      <c r="CT42" s="3158">
        <v>4722</v>
      </c>
      <c r="CU42" s="3159">
        <v>2979</v>
      </c>
      <c r="CV42" s="3240">
        <v>3629</v>
      </c>
      <c r="CW42" s="3158">
        <v>3960</v>
      </c>
      <c r="CX42" s="3241">
        <v>4851</v>
      </c>
      <c r="CY42" s="3241">
        <v>4273</v>
      </c>
      <c r="CZ42" s="3241">
        <v>4279</v>
      </c>
      <c r="DA42" s="3241">
        <v>4253</v>
      </c>
      <c r="DB42" s="3241">
        <v>3757</v>
      </c>
      <c r="DC42" s="3241">
        <v>3291</v>
      </c>
      <c r="DD42" s="3161">
        <v>4327</v>
      </c>
      <c r="DE42" s="3161">
        <v>3989</v>
      </c>
      <c r="DF42" s="3148"/>
      <c r="DG42" s="3148"/>
      <c r="DH42" s="3271">
        <v>3207</v>
      </c>
      <c r="DI42" s="3272">
        <v>3973</v>
      </c>
      <c r="DJ42" s="3272">
        <v>3772</v>
      </c>
      <c r="DK42" s="3273">
        <v>3495</v>
      </c>
      <c r="DL42" s="3273">
        <v>4166</v>
      </c>
      <c r="DM42" s="3273">
        <v>3815</v>
      </c>
      <c r="DN42" s="3273">
        <v>3440</v>
      </c>
      <c r="DO42" s="3273">
        <v>3627</v>
      </c>
      <c r="DP42" s="3195">
        <v>3113</v>
      </c>
      <c r="DQ42" s="3195">
        <v>3415</v>
      </c>
      <c r="DR42" s="3195">
        <v>3346</v>
      </c>
      <c r="DS42" s="3194">
        <v>1732</v>
      </c>
      <c r="DT42" s="3274">
        <v>2634</v>
      </c>
      <c r="DU42" s="3274">
        <v>2539</v>
      </c>
      <c r="DV42" s="3274">
        <v>3537</v>
      </c>
      <c r="DW42" s="3274">
        <v>2559</v>
      </c>
      <c r="DX42" s="3274">
        <v>2979</v>
      </c>
      <c r="DY42" s="3274">
        <v>2860</v>
      </c>
      <c r="DZ42" s="3166"/>
      <c r="EA42" s="3166"/>
      <c r="EB42" s="3166"/>
      <c r="EC42" s="3166"/>
      <c r="ED42" s="3166"/>
      <c r="EE42" s="3166"/>
      <c r="EF42" s="3274">
        <v>2634</v>
      </c>
      <c r="EG42" s="3274">
        <v>2539</v>
      </c>
      <c r="EH42" s="3274">
        <v>3537</v>
      </c>
      <c r="EI42" s="3274">
        <v>2559</v>
      </c>
      <c r="EJ42" s="3274">
        <v>2979</v>
      </c>
      <c r="EK42" s="3274">
        <v>2860</v>
      </c>
      <c r="EL42" s="3166"/>
      <c r="EM42" s="3166"/>
      <c r="EN42" s="3166"/>
      <c r="EO42" s="3166"/>
      <c r="EP42" s="3166"/>
      <c r="EQ42" s="3166"/>
      <c r="ER42" s="3274">
        <v>2634</v>
      </c>
      <c r="ES42" s="3274">
        <v>2539</v>
      </c>
      <c r="ET42" s="3274">
        <v>3537</v>
      </c>
      <c r="EU42" s="3274">
        <v>2559</v>
      </c>
      <c r="EV42" s="3274">
        <v>2979</v>
      </c>
      <c r="EW42" s="3274">
        <v>2860</v>
      </c>
      <c r="EX42" s="3166"/>
      <c r="EY42" s="3166"/>
      <c r="EZ42" s="3166"/>
      <c r="FA42" s="3166"/>
      <c r="FB42" s="3166"/>
      <c r="FC42" s="3166"/>
      <c r="FD42" s="2669"/>
      <c r="FE42" s="2669"/>
      <c r="FF42" s="2669"/>
      <c r="FG42" s="2669"/>
      <c r="FH42" s="2669"/>
      <c r="FI42" s="2669"/>
      <c r="FJ42" s="2669"/>
      <c r="FK42" s="2669"/>
      <c r="FL42" s="2669"/>
      <c r="FM42" s="2669"/>
      <c r="FN42" s="2669"/>
      <c r="FO42" s="2669"/>
      <c r="FP42" s="2670"/>
      <c r="FQ42" s="2669"/>
      <c r="FR42" s="2669"/>
      <c r="FS42" s="2669"/>
      <c r="FT42" s="2669"/>
      <c r="FU42" s="2669"/>
      <c r="FV42" s="2669"/>
      <c r="FW42" s="2669"/>
      <c r="FX42" s="2669"/>
      <c r="FY42" s="2669"/>
      <c r="FZ42" s="2669"/>
      <c r="GA42" s="2669"/>
      <c r="GB42" s="2595"/>
      <c r="GC42" s="2569"/>
      <c r="GD42" s="2671">
        <v>3298</v>
      </c>
      <c r="GE42" s="2672">
        <v>3410</v>
      </c>
      <c r="GF42" s="2672">
        <v>3250</v>
      </c>
      <c r="GG42" s="2673">
        <v>2856</v>
      </c>
      <c r="GH42" s="2674">
        <v>3242</v>
      </c>
      <c r="GI42" s="2675">
        <v>2838</v>
      </c>
      <c r="GJ42" s="2675">
        <v>2773</v>
      </c>
      <c r="GK42" s="2676">
        <v>2691</v>
      </c>
      <c r="GL42" s="2677">
        <v>2661</v>
      </c>
      <c r="GM42" s="2678">
        <v>2114</v>
      </c>
      <c r="GN42" s="2679">
        <v>2035</v>
      </c>
      <c r="GO42" s="2679">
        <v>2156</v>
      </c>
      <c r="GP42" s="2680">
        <v>1583</v>
      </c>
      <c r="GQ42" s="2681">
        <v>2403</v>
      </c>
      <c r="GR42" s="2681">
        <v>2254</v>
      </c>
      <c r="GS42" s="2682">
        <v>2183.2781249376112</v>
      </c>
      <c r="GT42" s="2683">
        <v>3224</v>
      </c>
      <c r="GU42" s="2684">
        <v>3059</v>
      </c>
      <c r="GV42" s="2684">
        <v>3408</v>
      </c>
      <c r="GW42" s="2685">
        <v>5447</v>
      </c>
      <c r="GX42" s="2681">
        <v>6708</v>
      </c>
      <c r="GY42" s="2681">
        <v>8008</v>
      </c>
      <c r="GZ42" s="2681">
        <v>6765</v>
      </c>
      <c r="HA42" s="2681">
        <v>9794</v>
      </c>
      <c r="HB42" s="2686">
        <v>10603</v>
      </c>
      <c r="HC42" s="2686">
        <v>13081</v>
      </c>
      <c r="HD42" s="2686">
        <v>11768</v>
      </c>
      <c r="HE42" s="2686">
        <v>11505</v>
      </c>
      <c r="HF42" s="2687">
        <v>12817</v>
      </c>
      <c r="HG42" s="2687">
        <v>12616</v>
      </c>
      <c r="HH42" s="2687">
        <v>12807</v>
      </c>
      <c r="HI42" s="2687">
        <v>12605</v>
      </c>
      <c r="HJ42" s="2688">
        <v>12440</v>
      </c>
      <c r="HK42" s="2688">
        <v>12541</v>
      </c>
      <c r="HL42" s="2688">
        <v>11037</v>
      </c>
      <c r="HM42" s="2689">
        <f t="shared" si="9"/>
        <v>10952</v>
      </c>
      <c r="HN42" s="2689">
        <f t="shared" si="10"/>
        <v>11476</v>
      </c>
      <c r="HO42" s="2689">
        <f t="shared" si="11"/>
        <v>10180</v>
      </c>
      <c r="HP42" s="2689">
        <f t="shared" si="12"/>
        <v>8493</v>
      </c>
      <c r="HQ42" s="2690">
        <f t="shared" si="13"/>
        <v>8710</v>
      </c>
      <c r="HR42" s="2690">
        <f t="shared" si="14"/>
        <v>8398</v>
      </c>
      <c r="HS42" s="2570"/>
      <c r="HT42" s="2569"/>
      <c r="HU42" s="2681"/>
      <c r="HV42" s="2686"/>
      <c r="HW42" s="2686"/>
      <c r="HX42" s="2686"/>
      <c r="HY42" s="2681"/>
      <c r="HZ42" s="2686"/>
      <c r="IA42" s="2686"/>
      <c r="IB42" s="2686"/>
      <c r="IC42" s="2686"/>
      <c r="ID42" s="2686"/>
      <c r="IE42" s="2686"/>
      <c r="IF42" s="2686"/>
      <c r="IG42" s="2686"/>
      <c r="IH42" s="2686"/>
      <c r="II42" s="2686"/>
      <c r="IJ42" s="2686"/>
      <c r="IK42" s="2691">
        <v>12814</v>
      </c>
      <c r="IL42" s="3167">
        <v>11544</v>
      </c>
      <c r="IM42" s="3167">
        <v>8966</v>
      </c>
      <c r="IN42" s="3167">
        <v>8423.2781249376112</v>
      </c>
      <c r="IO42" s="3167">
        <v>15138</v>
      </c>
      <c r="IP42" s="3167">
        <v>31275</v>
      </c>
      <c r="IQ42" s="3167">
        <v>46957</v>
      </c>
      <c r="IR42" s="3167">
        <v>51198</v>
      </c>
      <c r="IS42" s="3168">
        <v>48310</v>
      </c>
      <c r="IT42" s="3168">
        <f t="shared" si="15"/>
        <v>40528</v>
      </c>
      <c r="IU42" s="3169">
        <f t="shared" si="16"/>
        <v>32341</v>
      </c>
      <c r="IV42" s="3099"/>
      <c r="IW42" s="3099"/>
      <c r="IX42" s="3099"/>
      <c r="IY42" s="3100"/>
      <c r="IZ42" s="3101"/>
      <c r="JA42" s="3578"/>
      <c r="JC42" s="3099"/>
      <c r="JD42" s="3045"/>
      <c r="JE42" s="3045"/>
      <c r="JF42" s="3045"/>
      <c r="JG42" s="3045"/>
      <c r="JH42" s="2566"/>
      <c r="JI42" s="3076"/>
      <c r="JJ42" s="2566"/>
      <c r="JK42" s="2566"/>
      <c r="JL42" s="2566"/>
      <c r="JM42" s="2566"/>
      <c r="JN42" s="2566"/>
      <c r="JO42" s="2566"/>
      <c r="JP42" s="2566"/>
      <c r="JQ42" s="2566"/>
      <c r="JS42" s="3045"/>
      <c r="JT42" s="3045"/>
      <c r="JU42" s="3045"/>
      <c r="JV42" s="3045"/>
      <c r="JW42" s="3045"/>
      <c r="JX42" s="3045"/>
      <c r="JY42" s="3045"/>
      <c r="JZ42" s="3045"/>
      <c r="KA42" s="3045"/>
      <c r="KB42" s="3045"/>
      <c r="KC42" s="3045"/>
      <c r="KD42" s="3045"/>
      <c r="KE42" s="3045"/>
      <c r="KF42" s="3045"/>
      <c r="KG42" s="3045"/>
      <c r="KH42" s="3045"/>
      <c r="KI42" s="3045"/>
      <c r="KJ42" s="3045"/>
      <c r="KK42" s="3045"/>
      <c r="KL42" s="3045"/>
      <c r="KM42" s="3045"/>
      <c r="KN42" s="3045"/>
      <c r="KO42" s="3045"/>
    </row>
    <row r="43" spans="1:301" ht="21.9" hidden="1" customHeight="1">
      <c r="A43" s="2566"/>
      <c r="B43" s="3045"/>
      <c r="C43" s="3136" t="s">
        <v>476</v>
      </c>
      <c r="D43" s="3137">
        <v>775</v>
      </c>
      <c r="E43" s="3138">
        <v>663</v>
      </c>
      <c r="F43" s="3138">
        <v>839</v>
      </c>
      <c r="G43" s="3138">
        <v>756</v>
      </c>
      <c r="H43" s="3138">
        <v>745</v>
      </c>
      <c r="I43" s="3138">
        <v>1105</v>
      </c>
      <c r="J43" s="3138">
        <v>885</v>
      </c>
      <c r="K43" s="3138">
        <v>1294</v>
      </c>
      <c r="L43" s="3138">
        <v>1170</v>
      </c>
      <c r="M43" s="3138">
        <v>1983</v>
      </c>
      <c r="N43" s="3138">
        <v>1503</v>
      </c>
      <c r="O43" s="3139">
        <v>371</v>
      </c>
      <c r="P43" s="3140">
        <v>492</v>
      </c>
      <c r="Q43" s="3141">
        <v>1137</v>
      </c>
      <c r="R43" s="3141">
        <v>845</v>
      </c>
      <c r="S43" s="3141">
        <v>907</v>
      </c>
      <c r="T43" s="3141">
        <v>902</v>
      </c>
      <c r="U43" s="3141">
        <v>541</v>
      </c>
      <c r="V43" s="3141">
        <v>681</v>
      </c>
      <c r="W43" s="3141">
        <v>934</v>
      </c>
      <c r="X43" s="3141">
        <v>803</v>
      </c>
      <c r="Y43" s="3141">
        <v>1300</v>
      </c>
      <c r="Z43" s="3141">
        <v>1180</v>
      </c>
      <c r="AA43" s="3270">
        <v>376</v>
      </c>
      <c r="AB43" s="3143">
        <v>287</v>
      </c>
      <c r="AC43" s="3144">
        <v>551</v>
      </c>
      <c r="AD43" s="3144">
        <v>575</v>
      </c>
      <c r="AE43" s="3144">
        <v>454</v>
      </c>
      <c r="AF43" s="3144">
        <v>409</v>
      </c>
      <c r="AG43" s="3144">
        <v>600</v>
      </c>
      <c r="AH43" s="3144">
        <v>365</v>
      </c>
      <c r="AI43" s="3144">
        <v>647</v>
      </c>
      <c r="AJ43" s="3144">
        <v>463</v>
      </c>
      <c r="AK43" s="3144">
        <v>640</v>
      </c>
      <c r="AL43" s="3144">
        <v>588</v>
      </c>
      <c r="AM43" s="3144">
        <v>189</v>
      </c>
      <c r="AN43" s="3145">
        <v>284</v>
      </c>
      <c r="AO43" s="3145">
        <v>459</v>
      </c>
      <c r="AP43" s="3145">
        <v>424</v>
      </c>
      <c r="AQ43" s="3145">
        <v>336</v>
      </c>
      <c r="AR43" s="3145">
        <v>748</v>
      </c>
      <c r="AS43" s="3145">
        <v>813</v>
      </c>
      <c r="AT43" s="3145">
        <v>587</v>
      </c>
      <c r="AU43" s="3145">
        <v>757</v>
      </c>
      <c r="AV43" s="3145">
        <v>1147</v>
      </c>
      <c r="AW43" s="3145">
        <v>1486</v>
      </c>
      <c r="AX43" s="3145">
        <v>1026.4995707640401</v>
      </c>
      <c r="AY43" s="3146">
        <v>997</v>
      </c>
      <c r="AZ43" s="3147">
        <v>1092</v>
      </c>
      <c r="BA43" s="3148">
        <v>1431</v>
      </c>
      <c r="BB43" s="3148">
        <v>1685</v>
      </c>
      <c r="BC43" s="3148">
        <v>2142</v>
      </c>
      <c r="BD43" s="3148">
        <v>2079</v>
      </c>
      <c r="BE43" s="3148">
        <v>2085</v>
      </c>
      <c r="BF43" s="3148">
        <v>1462</v>
      </c>
      <c r="BG43" s="3148">
        <v>1972</v>
      </c>
      <c r="BH43" s="3148">
        <v>1835</v>
      </c>
      <c r="BI43" s="3148">
        <v>2005</v>
      </c>
      <c r="BJ43" s="3148">
        <v>2645</v>
      </c>
      <c r="BK43" s="3149">
        <v>1587</v>
      </c>
      <c r="BL43" s="3150">
        <v>1036</v>
      </c>
      <c r="BM43" s="3151">
        <v>928</v>
      </c>
      <c r="BN43" s="3151">
        <v>2581</v>
      </c>
      <c r="BO43" s="3151">
        <v>1968</v>
      </c>
      <c r="BP43" s="3151">
        <v>4357</v>
      </c>
      <c r="BQ43" s="3151">
        <v>4615</v>
      </c>
      <c r="BR43" s="3151">
        <v>4308</v>
      </c>
      <c r="BS43" s="3151">
        <v>3216</v>
      </c>
      <c r="BT43" s="3152">
        <v>5385</v>
      </c>
      <c r="BU43" s="3152">
        <v>5215</v>
      </c>
      <c r="BV43" s="3152">
        <v>5331</v>
      </c>
      <c r="BW43" s="3223">
        <v>2034</v>
      </c>
      <c r="BX43" s="3224">
        <v>2290</v>
      </c>
      <c r="BY43" s="3155">
        <v>2702</v>
      </c>
      <c r="BZ43" s="3155">
        <v>4060</v>
      </c>
      <c r="CA43" s="3155">
        <v>3416</v>
      </c>
      <c r="CB43" s="3155">
        <v>3996</v>
      </c>
      <c r="CC43" s="3155">
        <v>3976</v>
      </c>
      <c r="CD43" s="3155">
        <v>3104</v>
      </c>
      <c r="CE43" s="3155">
        <v>2726</v>
      </c>
      <c r="CF43" s="3155">
        <v>3644</v>
      </c>
      <c r="CG43" s="3155">
        <v>3209</v>
      </c>
      <c r="CH43" s="3155">
        <v>3863</v>
      </c>
      <c r="CI43" s="3156">
        <v>3486</v>
      </c>
      <c r="CJ43" s="3157">
        <v>2457</v>
      </c>
      <c r="CK43" s="3158">
        <v>4684</v>
      </c>
      <c r="CL43" s="3158">
        <v>3484</v>
      </c>
      <c r="CM43" s="3158">
        <v>2885</v>
      </c>
      <c r="CN43" s="3158">
        <v>3497</v>
      </c>
      <c r="CO43" s="3158">
        <v>3334</v>
      </c>
      <c r="CP43" s="3158">
        <v>3718</v>
      </c>
      <c r="CQ43" s="3158">
        <v>3400</v>
      </c>
      <c r="CR43" s="3158">
        <v>3970</v>
      </c>
      <c r="CS43" s="3158">
        <v>3836</v>
      </c>
      <c r="CT43" s="3158">
        <v>5097</v>
      </c>
      <c r="CU43" s="3159">
        <v>2490</v>
      </c>
      <c r="CV43" s="3240">
        <v>4070</v>
      </c>
      <c r="CW43" s="3158">
        <v>3451</v>
      </c>
      <c r="CX43" s="3241">
        <v>3710</v>
      </c>
      <c r="CY43" s="3241">
        <v>3644</v>
      </c>
      <c r="CZ43" s="3241">
        <v>4218</v>
      </c>
      <c r="DA43" s="3241">
        <v>3485</v>
      </c>
      <c r="DB43" s="3241">
        <v>3577</v>
      </c>
      <c r="DC43" s="3241">
        <v>3466</v>
      </c>
      <c r="DD43" s="3161">
        <v>3916</v>
      </c>
      <c r="DE43" s="3161">
        <v>3802</v>
      </c>
      <c r="DF43" s="3148"/>
      <c r="DG43" s="3148"/>
      <c r="DH43" s="3271">
        <v>3559</v>
      </c>
      <c r="DI43" s="3272">
        <v>3469</v>
      </c>
      <c r="DJ43" s="3272">
        <v>3261</v>
      </c>
      <c r="DK43" s="3273">
        <v>3285</v>
      </c>
      <c r="DL43" s="3273">
        <v>3105</v>
      </c>
      <c r="DM43" s="3273">
        <v>3612</v>
      </c>
      <c r="DN43" s="3273">
        <v>3531</v>
      </c>
      <c r="DO43" s="3273">
        <v>3455</v>
      </c>
      <c r="DP43" s="3273">
        <v>2257</v>
      </c>
      <c r="DQ43" s="3273">
        <v>4265</v>
      </c>
      <c r="DR43" s="3273">
        <v>3670</v>
      </c>
      <c r="DS43" s="3275">
        <v>1908</v>
      </c>
      <c r="DT43" s="3276">
        <v>2243</v>
      </c>
      <c r="DU43" s="3276">
        <v>2142</v>
      </c>
      <c r="DV43" s="3276">
        <v>2804</v>
      </c>
      <c r="DW43" s="3276">
        <v>2231</v>
      </c>
      <c r="DX43" s="3276">
        <v>2321</v>
      </c>
      <c r="DY43" s="3276">
        <v>2631</v>
      </c>
      <c r="DZ43" s="3277"/>
      <c r="EA43" s="3277"/>
      <c r="EB43" s="3277"/>
      <c r="EC43" s="3277"/>
      <c r="ED43" s="3277"/>
      <c r="EE43" s="3277"/>
      <c r="EF43" s="3276">
        <v>2243</v>
      </c>
      <c r="EG43" s="3276">
        <v>2142</v>
      </c>
      <c r="EH43" s="3276">
        <v>2804</v>
      </c>
      <c r="EI43" s="3276">
        <v>2231</v>
      </c>
      <c r="EJ43" s="3276">
        <v>2321</v>
      </c>
      <c r="EK43" s="3276">
        <v>2631</v>
      </c>
      <c r="EL43" s="3277"/>
      <c r="EM43" s="3277"/>
      <c r="EN43" s="3277"/>
      <c r="EO43" s="3277"/>
      <c r="EP43" s="3277"/>
      <c r="EQ43" s="3277"/>
      <c r="ER43" s="3276">
        <v>2243</v>
      </c>
      <c r="ES43" s="3276">
        <v>2142</v>
      </c>
      <c r="ET43" s="3276">
        <v>2804</v>
      </c>
      <c r="EU43" s="3276">
        <v>2231</v>
      </c>
      <c r="EV43" s="3276">
        <v>2321</v>
      </c>
      <c r="EW43" s="3276">
        <v>2631</v>
      </c>
      <c r="EX43" s="3277"/>
      <c r="EY43" s="3277"/>
      <c r="EZ43" s="3277"/>
      <c r="FA43" s="3277"/>
      <c r="FB43" s="3277"/>
      <c r="FC43" s="3277"/>
      <c r="FD43" s="2669"/>
      <c r="FE43" s="2669"/>
      <c r="FF43" s="2669"/>
      <c r="FG43" s="2669"/>
      <c r="FH43" s="2669"/>
      <c r="FI43" s="2669"/>
      <c r="FJ43" s="2669"/>
      <c r="FK43" s="2669"/>
      <c r="FL43" s="2669"/>
      <c r="FM43" s="2669"/>
      <c r="FN43" s="2669"/>
      <c r="FO43" s="2669"/>
      <c r="FP43" s="2670"/>
      <c r="FQ43" s="2669"/>
      <c r="FR43" s="2669"/>
      <c r="FS43" s="2669"/>
      <c r="FT43" s="2669"/>
      <c r="FU43" s="2669"/>
      <c r="FV43" s="2669"/>
      <c r="FW43" s="2669"/>
      <c r="FX43" s="2669"/>
      <c r="FY43" s="2669"/>
      <c r="FZ43" s="2669"/>
      <c r="GA43" s="2669"/>
      <c r="GB43" s="2595"/>
      <c r="GC43" s="2569"/>
      <c r="GD43" s="2671">
        <v>2277</v>
      </c>
      <c r="GE43" s="2672">
        <v>2606</v>
      </c>
      <c r="GF43" s="2672">
        <v>3349</v>
      </c>
      <c r="GG43" s="2673">
        <v>3857</v>
      </c>
      <c r="GH43" s="2674">
        <v>2474</v>
      </c>
      <c r="GI43" s="2675">
        <v>2350</v>
      </c>
      <c r="GJ43" s="2675">
        <v>2418</v>
      </c>
      <c r="GK43" s="2676">
        <v>2856</v>
      </c>
      <c r="GL43" s="2677">
        <v>1413</v>
      </c>
      <c r="GM43" s="2678">
        <v>1463</v>
      </c>
      <c r="GN43" s="2679">
        <v>1475</v>
      </c>
      <c r="GO43" s="2679">
        <v>1417</v>
      </c>
      <c r="GP43" s="2680">
        <v>1167</v>
      </c>
      <c r="GQ43" s="2681">
        <v>1897</v>
      </c>
      <c r="GR43" s="2681">
        <v>2491</v>
      </c>
      <c r="GS43" s="2682">
        <v>3509.4995707640401</v>
      </c>
      <c r="GT43" s="2683">
        <v>4208</v>
      </c>
      <c r="GU43" s="2684">
        <v>6306</v>
      </c>
      <c r="GV43" s="2684">
        <v>5269</v>
      </c>
      <c r="GW43" s="2685">
        <v>6237</v>
      </c>
      <c r="GX43" s="2681">
        <v>4545</v>
      </c>
      <c r="GY43" s="2681">
        <v>10940</v>
      </c>
      <c r="GZ43" s="2681">
        <v>12909</v>
      </c>
      <c r="HA43" s="2681">
        <v>12580</v>
      </c>
      <c r="HB43" s="2686">
        <v>9052</v>
      </c>
      <c r="HC43" s="2686">
        <v>11388</v>
      </c>
      <c r="HD43" s="2686">
        <v>9474</v>
      </c>
      <c r="HE43" s="2686">
        <v>10558</v>
      </c>
      <c r="HF43" s="2687">
        <v>10625</v>
      </c>
      <c r="HG43" s="2687">
        <v>9716</v>
      </c>
      <c r="HH43" s="2687">
        <v>10954</v>
      </c>
      <c r="HI43" s="2687">
        <v>11423</v>
      </c>
      <c r="HJ43" s="2688">
        <v>11231</v>
      </c>
      <c r="HK43" s="2688">
        <v>11664</v>
      </c>
      <c r="HL43" s="2688">
        <v>10845</v>
      </c>
      <c r="HM43" s="2689">
        <f t="shared" si="9"/>
        <v>10289</v>
      </c>
      <c r="HN43" s="2689">
        <f t="shared" si="10"/>
        <v>10002</v>
      </c>
      <c r="HO43" s="2689">
        <f t="shared" si="11"/>
        <v>9243</v>
      </c>
      <c r="HP43" s="2689">
        <f t="shared" si="12"/>
        <v>9843</v>
      </c>
      <c r="HQ43" s="2690">
        <f t="shared" si="13"/>
        <v>7189</v>
      </c>
      <c r="HR43" s="2690">
        <f t="shared" si="14"/>
        <v>7183</v>
      </c>
      <c r="HS43" s="2570"/>
      <c r="HT43" s="2569"/>
      <c r="HU43" s="2681"/>
      <c r="HV43" s="2686"/>
      <c r="HW43" s="2686"/>
      <c r="HX43" s="2686"/>
      <c r="HY43" s="2681"/>
      <c r="HZ43" s="2686"/>
      <c r="IA43" s="2686"/>
      <c r="IB43" s="2686"/>
      <c r="IC43" s="2686"/>
      <c r="ID43" s="2686"/>
      <c r="IE43" s="2686"/>
      <c r="IF43" s="2686"/>
      <c r="IG43" s="2686"/>
      <c r="IH43" s="2686"/>
      <c r="II43" s="2686"/>
      <c r="IJ43" s="2686"/>
      <c r="IK43" s="2691">
        <v>12089</v>
      </c>
      <c r="IL43" s="3167">
        <v>10098</v>
      </c>
      <c r="IM43" s="3167">
        <v>5768</v>
      </c>
      <c r="IN43" s="3167">
        <v>9064.499570764041</v>
      </c>
      <c r="IO43" s="3167">
        <v>22020</v>
      </c>
      <c r="IP43" s="3167">
        <v>40974</v>
      </c>
      <c r="IQ43" s="3167">
        <v>40472</v>
      </c>
      <c r="IR43" s="3167">
        <v>42852</v>
      </c>
      <c r="IS43" s="3168">
        <v>44926</v>
      </c>
      <c r="IT43" s="3168">
        <f t="shared" si="15"/>
        <v>38061</v>
      </c>
      <c r="IU43" s="3169">
        <f t="shared" si="16"/>
        <v>29927</v>
      </c>
      <c r="IV43" s="3099"/>
      <c r="IW43" s="3099"/>
      <c r="IX43" s="3099"/>
      <c r="IY43" s="3100"/>
      <c r="IZ43" s="3101"/>
      <c r="JA43" s="3578"/>
      <c r="JC43" s="3099"/>
      <c r="JD43" s="3045"/>
      <c r="JE43" s="3045"/>
      <c r="JF43" s="3045"/>
      <c r="JG43" s="3045"/>
      <c r="JH43" s="2566"/>
      <c r="JI43" s="3076"/>
      <c r="JJ43" s="2566"/>
      <c r="JK43" s="2566"/>
      <c r="JL43" s="2566"/>
      <c r="JM43" s="2566"/>
      <c r="JN43" s="2566"/>
      <c r="JO43" s="2566"/>
      <c r="JP43" s="2566"/>
      <c r="JQ43" s="2566"/>
      <c r="JS43" s="3045"/>
      <c r="JT43" s="3045"/>
      <c r="JU43" s="3045"/>
      <c r="JV43" s="3045"/>
      <c r="JW43" s="3045"/>
      <c r="JX43" s="3045"/>
      <c r="JY43" s="3045"/>
      <c r="JZ43" s="3045"/>
      <c r="KA43" s="3045"/>
      <c r="KB43" s="3045"/>
      <c r="KC43" s="3045"/>
      <c r="KD43" s="3045"/>
      <c r="KE43" s="3045"/>
      <c r="KF43" s="3045"/>
      <c r="KG43" s="3045"/>
      <c r="KH43" s="3045"/>
      <c r="KI43" s="3045"/>
      <c r="KJ43" s="3045"/>
      <c r="KK43" s="3045"/>
      <c r="KL43" s="3045"/>
      <c r="KM43" s="3045"/>
      <c r="KN43" s="3045"/>
      <c r="KO43" s="3045"/>
    </row>
    <row r="44" spans="1:301" ht="21.9" hidden="1" customHeight="1">
      <c r="A44" s="2566"/>
      <c r="B44" s="3045"/>
      <c r="C44" s="3136" t="s">
        <v>477</v>
      </c>
      <c r="D44" s="3137">
        <v>1883</v>
      </c>
      <c r="E44" s="3138">
        <v>1657</v>
      </c>
      <c r="F44" s="3138">
        <v>1327</v>
      </c>
      <c r="G44" s="3138">
        <v>1486</v>
      </c>
      <c r="H44" s="3138">
        <v>2201</v>
      </c>
      <c r="I44" s="3138">
        <v>3604</v>
      </c>
      <c r="J44" s="3138">
        <v>3509</v>
      </c>
      <c r="K44" s="3138">
        <v>3236</v>
      </c>
      <c r="L44" s="3138">
        <v>2537</v>
      </c>
      <c r="M44" s="3138">
        <v>2554</v>
      </c>
      <c r="N44" s="3138">
        <v>2676</v>
      </c>
      <c r="O44" s="3139">
        <v>3210</v>
      </c>
      <c r="P44" s="3140">
        <v>2593</v>
      </c>
      <c r="Q44" s="3141">
        <v>2890</v>
      </c>
      <c r="R44" s="3141">
        <v>2030</v>
      </c>
      <c r="S44" s="3141">
        <v>1676</v>
      </c>
      <c r="T44" s="3141">
        <v>1641</v>
      </c>
      <c r="U44" s="3141">
        <v>1567</v>
      </c>
      <c r="V44" s="3141">
        <v>1836</v>
      </c>
      <c r="W44" s="3141">
        <v>2705</v>
      </c>
      <c r="X44" s="3141">
        <v>2156</v>
      </c>
      <c r="Y44" s="3141">
        <v>1860</v>
      </c>
      <c r="Z44" s="3141">
        <v>1845</v>
      </c>
      <c r="AA44" s="3270">
        <v>1709</v>
      </c>
      <c r="AB44" s="3143">
        <v>2679</v>
      </c>
      <c r="AC44" s="3144">
        <v>1612</v>
      </c>
      <c r="AD44" s="3144">
        <v>1971</v>
      </c>
      <c r="AE44" s="3144">
        <v>2265</v>
      </c>
      <c r="AF44" s="3144">
        <v>438</v>
      </c>
      <c r="AG44" s="3144">
        <v>2358</v>
      </c>
      <c r="AH44" s="3144">
        <v>2117</v>
      </c>
      <c r="AI44" s="3144">
        <v>2228</v>
      </c>
      <c r="AJ44" s="3144">
        <v>1865</v>
      </c>
      <c r="AK44" s="3144">
        <v>2161</v>
      </c>
      <c r="AL44" s="3144">
        <v>2220</v>
      </c>
      <c r="AM44" s="3144">
        <v>1801</v>
      </c>
      <c r="AN44" s="3145">
        <v>2783</v>
      </c>
      <c r="AO44" s="3145">
        <v>2057</v>
      </c>
      <c r="AP44" s="3145">
        <v>1543</v>
      </c>
      <c r="AQ44" s="3145">
        <v>1821</v>
      </c>
      <c r="AR44" s="3145">
        <v>2319</v>
      </c>
      <c r="AS44" s="3145">
        <v>2281</v>
      </c>
      <c r="AT44" s="3145">
        <v>2194</v>
      </c>
      <c r="AU44" s="3145">
        <v>2970</v>
      </c>
      <c r="AV44" s="3145">
        <v>2164</v>
      </c>
      <c r="AW44" s="3145">
        <v>2240</v>
      </c>
      <c r="AX44" s="3145">
        <v>10381.591427259478</v>
      </c>
      <c r="AY44" s="3146">
        <v>2371</v>
      </c>
      <c r="AZ44" s="3147">
        <v>2680</v>
      </c>
      <c r="BA44" s="3148">
        <v>2563</v>
      </c>
      <c r="BB44" s="3148">
        <v>1944</v>
      </c>
      <c r="BC44" s="3148">
        <v>2119</v>
      </c>
      <c r="BD44" s="3148">
        <v>1994</v>
      </c>
      <c r="BE44" s="3148">
        <v>2793</v>
      </c>
      <c r="BF44" s="3148">
        <v>2433</v>
      </c>
      <c r="BG44" s="3148">
        <v>2791</v>
      </c>
      <c r="BH44" s="3148">
        <v>2051</v>
      </c>
      <c r="BI44" s="3148">
        <v>1537</v>
      </c>
      <c r="BJ44" s="3148">
        <v>2283</v>
      </c>
      <c r="BK44" s="3149">
        <v>1459</v>
      </c>
      <c r="BL44" s="3150">
        <v>1785</v>
      </c>
      <c r="BM44" s="3151">
        <v>1685</v>
      </c>
      <c r="BN44" s="3151">
        <v>1086</v>
      </c>
      <c r="BO44" s="3151">
        <v>1869</v>
      </c>
      <c r="BP44" s="3151">
        <v>2160</v>
      </c>
      <c r="BQ44" s="3151">
        <v>2332</v>
      </c>
      <c r="BR44" s="3151">
        <v>2240</v>
      </c>
      <c r="BS44" s="3151">
        <v>3166</v>
      </c>
      <c r="BT44" s="3152">
        <v>2134</v>
      </c>
      <c r="BU44" s="3152">
        <v>2416</v>
      </c>
      <c r="BV44" s="3152">
        <v>2694</v>
      </c>
      <c r="BW44" s="3223">
        <v>3297</v>
      </c>
      <c r="BX44" s="3224">
        <v>2413</v>
      </c>
      <c r="BY44" s="3155">
        <v>1877</v>
      </c>
      <c r="BZ44" s="3155">
        <v>1269</v>
      </c>
      <c r="CA44" s="3155">
        <v>1566</v>
      </c>
      <c r="CB44" s="3155">
        <v>1643</v>
      </c>
      <c r="CC44" s="3155">
        <v>1803</v>
      </c>
      <c r="CD44" s="3155">
        <v>925</v>
      </c>
      <c r="CE44" s="3155">
        <v>1671</v>
      </c>
      <c r="CF44" s="3155">
        <v>1492</v>
      </c>
      <c r="CG44" s="3155">
        <v>1377</v>
      </c>
      <c r="CH44" s="3155">
        <v>1546</v>
      </c>
      <c r="CI44" s="3156">
        <v>1822</v>
      </c>
      <c r="CJ44" s="3157">
        <v>1643</v>
      </c>
      <c r="CK44" s="3158">
        <v>1252</v>
      </c>
      <c r="CL44" s="3158">
        <v>982</v>
      </c>
      <c r="CM44" s="3158">
        <v>970</v>
      </c>
      <c r="CN44" s="3158">
        <v>982</v>
      </c>
      <c r="CO44" s="3158">
        <v>987</v>
      </c>
      <c r="CP44" s="3158">
        <v>1121</v>
      </c>
      <c r="CQ44" s="3158">
        <v>1228</v>
      </c>
      <c r="CR44" s="3158">
        <v>1125</v>
      </c>
      <c r="CS44" s="3158">
        <v>1046</v>
      </c>
      <c r="CT44" s="3158">
        <v>1138</v>
      </c>
      <c r="CU44" s="3159">
        <v>1452</v>
      </c>
      <c r="CV44" s="3240">
        <v>1144</v>
      </c>
      <c r="CW44" s="3158">
        <v>995</v>
      </c>
      <c r="CX44" s="3241">
        <v>901</v>
      </c>
      <c r="CY44" s="3241">
        <v>809</v>
      </c>
      <c r="CZ44" s="3241">
        <v>812</v>
      </c>
      <c r="DA44" s="3241">
        <v>1255</v>
      </c>
      <c r="DB44" s="3241">
        <v>1088</v>
      </c>
      <c r="DC44" s="3241">
        <v>1108</v>
      </c>
      <c r="DD44" s="3161">
        <v>1098</v>
      </c>
      <c r="DE44" s="3161">
        <v>1037</v>
      </c>
      <c r="DF44" s="3148"/>
      <c r="DG44" s="3148"/>
      <c r="DH44" s="3271">
        <v>1150</v>
      </c>
      <c r="DI44" s="3272">
        <v>934</v>
      </c>
      <c r="DJ44" s="3272">
        <v>1033</v>
      </c>
      <c r="DK44" s="3273">
        <v>882</v>
      </c>
      <c r="DL44" s="3273">
        <v>982</v>
      </c>
      <c r="DM44" s="3273">
        <v>1399</v>
      </c>
      <c r="DN44" s="3273">
        <v>1302</v>
      </c>
      <c r="DO44" s="3273">
        <v>1196</v>
      </c>
      <c r="DP44" s="3273">
        <v>2903</v>
      </c>
      <c r="DQ44" s="3273">
        <f>4441+5217</f>
        <v>9658</v>
      </c>
      <c r="DR44" s="3273">
        <v>5266</v>
      </c>
      <c r="DS44" s="3275">
        <v>9991</v>
      </c>
      <c r="DT44" s="3276">
        <v>5888</v>
      </c>
      <c r="DU44" s="3276">
        <v>6056</v>
      </c>
      <c r="DV44" s="3276">
        <v>5759</v>
      </c>
      <c r="DW44" s="3276">
        <v>6061</v>
      </c>
      <c r="DX44" s="3276">
        <v>5858</v>
      </c>
      <c r="DY44" s="3276">
        <v>8774</v>
      </c>
      <c r="DZ44" s="3277"/>
      <c r="EA44" s="3277"/>
      <c r="EB44" s="3277"/>
      <c r="EC44" s="3277"/>
      <c r="ED44" s="3277"/>
      <c r="EE44" s="3277"/>
      <c r="EF44" s="3276">
        <v>5888</v>
      </c>
      <c r="EG44" s="3276">
        <v>6056</v>
      </c>
      <c r="EH44" s="3276">
        <v>5759</v>
      </c>
      <c r="EI44" s="3276">
        <v>6061</v>
      </c>
      <c r="EJ44" s="3276">
        <v>5858</v>
      </c>
      <c r="EK44" s="3276">
        <v>8774</v>
      </c>
      <c r="EL44" s="3277"/>
      <c r="EM44" s="3277"/>
      <c r="EN44" s="3277"/>
      <c r="EO44" s="3277"/>
      <c r="EP44" s="3277"/>
      <c r="EQ44" s="3277"/>
      <c r="ER44" s="3276">
        <v>5888</v>
      </c>
      <c r="ES44" s="3276">
        <v>6056</v>
      </c>
      <c r="ET44" s="3276">
        <v>5759</v>
      </c>
      <c r="EU44" s="3276">
        <v>6061</v>
      </c>
      <c r="EV44" s="3276">
        <v>5858</v>
      </c>
      <c r="EW44" s="3276">
        <v>8774</v>
      </c>
      <c r="EX44" s="3277"/>
      <c r="EY44" s="3277"/>
      <c r="EZ44" s="3277"/>
      <c r="FA44" s="3277"/>
      <c r="FB44" s="3277"/>
      <c r="FC44" s="3277"/>
      <c r="FD44" s="2669"/>
      <c r="FE44" s="2669"/>
      <c r="FF44" s="2669"/>
      <c r="FG44" s="2669"/>
      <c r="FH44" s="2669"/>
      <c r="FI44" s="2669"/>
      <c r="FJ44" s="2669"/>
      <c r="FK44" s="2669"/>
      <c r="FL44" s="2669"/>
      <c r="FM44" s="2669"/>
      <c r="FN44" s="2669"/>
      <c r="FO44" s="2669"/>
      <c r="FP44" s="2670"/>
      <c r="FQ44" s="2669"/>
      <c r="FR44" s="2669"/>
      <c r="FS44" s="2669"/>
      <c r="FT44" s="2669"/>
      <c r="FU44" s="2669"/>
      <c r="FV44" s="2669"/>
      <c r="FW44" s="2669"/>
      <c r="FX44" s="2669"/>
      <c r="FY44" s="2669"/>
      <c r="FZ44" s="2669"/>
      <c r="GA44" s="2669"/>
      <c r="GB44" s="2595"/>
      <c r="GC44" s="2569"/>
      <c r="GD44" s="2671">
        <v>4867</v>
      </c>
      <c r="GE44" s="2672">
        <v>7291</v>
      </c>
      <c r="GF44" s="2672">
        <v>9282</v>
      </c>
      <c r="GG44" s="2673">
        <v>8440</v>
      </c>
      <c r="GH44" s="2674">
        <v>7513</v>
      </c>
      <c r="GI44" s="2675">
        <v>4884</v>
      </c>
      <c r="GJ44" s="2675">
        <v>6697</v>
      </c>
      <c r="GK44" s="2676">
        <v>5414</v>
      </c>
      <c r="GL44" s="2677">
        <v>6262</v>
      </c>
      <c r="GM44" s="2678">
        <v>5061</v>
      </c>
      <c r="GN44" s="2679">
        <v>6210</v>
      </c>
      <c r="GO44" s="2679">
        <v>6182</v>
      </c>
      <c r="GP44" s="2680">
        <v>6383</v>
      </c>
      <c r="GQ44" s="2681">
        <v>6421</v>
      </c>
      <c r="GR44" s="2681">
        <v>7328</v>
      </c>
      <c r="GS44" s="2682">
        <v>14992.591427259478</v>
      </c>
      <c r="GT44" s="2683">
        <v>7187</v>
      </c>
      <c r="GU44" s="2684">
        <v>6906</v>
      </c>
      <c r="GV44" s="2684">
        <v>7275</v>
      </c>
      <c r="GW44" s="2685">
        <v>5279</v>
      </c>
      <c r="GX44" s="2681">
        <v>4556</v>
      </c>
      <c r="GY44" s="2681">
        <v>6361</v>
      </c>
      <c r="GZ44" s="2681">
        <v>7540</v>
      </c>
      <c r="HA44" s="2681">
        <v>8407</v>
      </c>
      <c r="HB44" s="2686">
        <v>5559</v>
      </c>
      <c r="HC44" s="2686">
        <v>5012</v>
      </c>
      <c r="HD44" s="2686">
        <v>4088</v>
      </c>
      <c r="HE44" s="2686">
        <v>4745</v>
      </c>
      <c r="HF44" s="2687">
        <v>3877</v>
      </c>
      <c r="HG44" s="2687">
        <v>2939</v>
      </c>
      <c r="HH44" s="2687">
        <v>3395</v>
      </c>
      <c r="HI44" s="2687">
        <v>3636</v>
      </c>
      <c r="HJ44" s="2688">
        <v>3040</v>
      </c>
      <c r="HK44" s="2688">
        <v>2658</v>
      </c>
      <c r="HL44" s="2688">
        <v>3233</v>
      </c>
      <c r="HM44" s="2689">
        <f t="shared" si="9"/>
        <v>3117</v>
      </c>
      <c r="HN44" s="2689">
        <f t="shared" si="10"/>
        <v>3263</v>
      </c>
      <c r="HO44" s="2689">
        <f t="shared" si="11"/>
        <v>5401</v>
      </c>
      <c r="HP44" s="2689">
        <f t="shared" si="12"/>
        <v>24915</v>
      </c>
      <c r="HQ44" s="2690">
        <f t="shared" si="13"/>
        <v>17703</v>
      </c>
      <c r="HR44" s="2690">
        <f t="shared" si="14"/>
        <v>20693</v>
      </c>
      <c r="HS44" s="2570"/>
      <c r="HT44" s="2569"/>
      <c r="HU44" s="2681"/>
      <c r="HV44" s="2686"/>
      <c r="HW44" s="2686"/>
      <c r="HX44" s="2686"/>
      <c r="HY44" s="2681"/>
      <c r="HZ44" s="2686"/>
      <c r="IA44" s="2686"/>
      <c r="IB44" s="2686"/>
      <c r="IC44" s="2686"/>
      <c r="ID44" s="2686"/>
      <c r="IE44" s="2686"/>
      <c r="IF44" s="2686"/>
      <c r="IG44" s="2686"/>
      <c r="IH44" s="2686"/>
      <c r="II44" s="2686"/>
      <c r="IJ44" s="2686"/>
      <c r="IK44" s="2691">
        <v>29880</v>
      </c>
      <c r="IL44" s="3167">
        <v>24508</v>
      </c>
      <c r="IM44" s="3167">
        <v>23715</v>
      </c>
      <c r="IN44" s="3167">
        <v>35124.591427259482</v>
      </c>
      <c r="IO44" s="3167">
        <v>26647</v>
      </c>
      <c r="IP44" s="3167">
        <v>26864</v>
      </c>
      <c r="IQ44" s="3167">
        <v>19404</v>
      </c>
      <c r="IR44" s="3167">
        <v>13926</v>
      </c>
      <c r="IS44" s="3168">
        <v>12837</v>
      </c>
      <c r="IT44" s="3168">
        <f t="shared" si="15"/>
        <v>41434</v>
      </c>
      <c r="IU44" s="3169">
        <f t="shared" si="16"/>
        <v>67410</v>
      </c>
      <c r="IV44" s="3099"/>
      <c r="IW44" s="3099"/>
      <c r="IX44" s="3099"/>
      <c r="IY44" s="3100"/>
      <c r="IZ44" s="3101"/>
      <c r="JA44" s="3578"/>
      <c r="JC44" s="3099"/>
      <c r="JD44" s="3045"/>
      <c r="JE44" s="3045"/>
      <c r="JF44" s="3045"/>
      <c r="JG44" s="3045"/>
      <c r="JH44" s="2566"/>
      <c r="JI44" s="3076"/>
      <c r="JJ44" s="2566"/>
      <c r="JK44" s="2566"/>
      <c r="JL44" s="2566"/>
      <c r="JM44" s="2566"/>
      <c r="JN44" s="2566"/>
      <c r="JO44" s="2566"/>
      <c r="JP44" s="2566"/>
      <c r="JQ44" s="2566"/>
      <c r="JS44" s="3045"/>
      <c r="JT44" s="3045"/>
      <c r="JU44" s="3045"/>
      <c r="JV44" s="3045"/>
      <c r="JW44" s="3045"/>
      <c r="JX44" s="3045"/>
      <c r="JY44" s="3045"/>
      <c r="JZ44" s="3045"/>
      <c r="KA44" s="3045"/>
      <c r="KB44" s="3045"/>
      <c r="KC44" s="3045"/>
      <c r="KD44" s="3045"/>
      <c r="KE44" s="3045"/>
      <c r="KF44" s="3045"/>
      <c r="KG44" s="3045"/>
      <c r="KH44" s="3045"/>
      <c r="KI44" s="3045"/>
      <c r="KJ44" s="3045"/>
      <c r="KK44" s="3045"/>
      <c r="KL44" s="3045"/>
      <c r="KM44" s="3045"/>
      <c r="KN44" s="3045"/>
      <c r="KO44" s="3045"/>
    </row>
    <row r="45" spans="1:301" ht="21.9" hidden="1" customHeight="1">
      <c r="A45" s="2566"/>
      <c r="B45" s="3045"/>
      <c r="C45" s="3136" t="s">
        <v>51</v>
      </c>
      <c r="D45" s="3137">
        <v>4783</v>
      </c>
      <c r="E45" s="3138">
        <v>4134</v>
      </c>
      <c r="F45" s="3138">
        <v>4077</v>
      </c>
      <c r="G45" s="3138">
        <v>3525</v>
      </c>
      <c r="H45" s="3138">
        <v>3362</v>
      </c>
      <c r="I45" s="3138">
        <v>2512</v>
      </c>
      <c r="J45" s="3138">
        <v>3996</v>
      </c>
      <c r="K45" s="3138">
        <v>3396</v>
      </c>
      <c r="L45" s="3138">
        <v>2487</v>
      </c>
      <c r="M45" s="3138">
        <v>2388</v>
      </c>
      <c r="N45" s="3138">
        <v>2757</v>
      </c>
      <c r="O45" s="3139">
        <v>2918</v>
      </c>
      <c r="P45" s="3140">
        <v>4821</v>
      </c>
      <c r="Q45" s="3141">
        <v>5536</v>
      </c>
      <c r="R45" s="3141">
        <v>5072</v>
      </c>
      <c r="S45" s="3141">
        <v>4594</v>
      </c>
      <c r="T45" s="3141">
        <v>5071</v>
      </c>
      <c r="U45" s="3141">
        <v>6110</v>
      </c>
      <c r="V45" s="3141">
        <v>7060</v>
      </c>
      <c r="W45" s="3141">
        <v>7391</v>
      </c>
      <c r="X45" s="3141">
        <v>4246</v>
      </c>
      <c r="Y45" s="3141">
        <v>5190</v>
      </c>
      <c r="Z45" s="3141">
        <v>4782</v>
      </c>
      <c r="AA45" s="3270">
        <v>4025</v>
      </c>
      <c r="AB45" s="3143">
        <v>6495</v>
      </c>
      <c r="AC45" s="3144">
        <v>6475</v>
      </c>
      <c r="AD45" s="3144">
        <v>5388</v>
      </c>
      <c r="AE45" s="3144">
        <v>4805</v>
      </c>
      <c r="AF45" s="3144">
        <v>4509</v>
      </c>
      <c r="AG45" s="3144">
        <v>6490</v>
      </c>
      <c r="AH45" s="3144">
        <v>6440</v>
      </c>
      <c r="AI45" s="3144">
        <v>7596</v>
      </c>
      <c r="AJ45" s="3144">
        <v>6858</v>
      </c>
      <c r="AK45" s="3144">
        <v>6415</v>
      </c>
      <c r="AL45" s="3144">
        <v>6479</v>
      </c>
      <c r="AM45" s="3144">
        <v>8718</v>
      </c>
      <c r="AN45" s="3145">
        <v>8568</v>
      </c>
      <c r="AO45" s="3145">
        <v>8622</v>
      </c>
      <c r="AP45" s="3145">
        <v>7042</v>
      </c>
      <c r="AQ45" s="3145">
        <v>5936</v>
      </c>
      <c r="AR45" s="3145">
        <v>4420</v>
      </c>
      <c r="AS45" s="3145">
        <v>4519</v>
      </c>
      <c r="AT45" s="3145">
        <v>3901</v>
      </c>
      <c r="AU45" s="3145">
        <v>4756</v>
      </c>
      <c r="AV45" s="3145">
        <v>2866</v>
      </c>
      <c r="AW45" s="3145">
        <v>2890</v>
      </c>
      <c r="AX45" s="3145">
        <v>2190.1705763740542</v>
      </c>
      <c r="AY45" s="3146">
        <v>2282</v>
      </c>
      <c r="AZ45" s="3147">
        <v>2683</v>
      </c>
      <c r="BA45" s="3148">
        <v>2283</v>
      </c>
      <c r="BB45" s="3148">
        <v>3776</v>
      </c>
      <c r="BC45" s="3148">
        <v>2371</v>
      </c>
      <c r="BD45" s="3148">
        <v>3580</v>
      </c>
      <c r="BE45" s="3148">
        <v>4368</v>
      </c>
      <c r="BF45" s="3148">
        <v>3375</v>
      </c>
      <c r="BG45" s="3148">
        <v>3528</v>
      </c>
      <c r="BH45" s="3148">
        <v>3370</v>
      </c>
      <c r="BI45" s="3148">
        <v>3410</v>
      </c>
      <c r="BJ45" s="3148">
        <v>3543</v>
      </c>
      <c r="BK45" s="3149">
        <v>3211</v>
      </c>
      <c r="BL45" s="3150">
        <v>1707</v>
      </c>
      <c r="BM45" s="3151">
        <v>1662</v>
      </c>
      <c r="BN45" s="3151">
        <v>3753</v>
      </c>
      <c r="BO45" s="3151">
        <v>4295</v>
      </c>
      <c r="BP45" s="3151">
        <v>3504</v>
      </c>
      <c r="BQ45" s="3151">
        <v>4198</v>
      </c>
      <c r="BR45" s="3151">
        <v>3126</v>
      </c>
      <c r="BS45" s="3151">
        <v>4598</v>
      </c>
      <c r="BT45" s="3152">
        <v>3635</v>
      </c>
      <c r="BU45" s="3152">
        <v>3500</v>
      </c>
      <c r="BV45" s="3152">
        <v>3876</v>
      </c>
      <c r="BW45" s="3223">
        <v>5165</v>
      </c>
      <c r="BX45" s="3224">
        <v>5702</v>
      </c>
      <c r="BY45" s="3155">
        <v>5203</v>
      </c>
      <c r="BZ45" s="3155">
        <v>4632</v>
      </c>
      <c r="CA45" s="3155">
        <v>5333</v>
      </c>
      <c r="CB45" s="3155">
        <v>6487</v>
      </c>
      <c r="CC45" s="3155">
        <v>8469</v>
      </c>
      <c r="CD45" s="3155">
        <v>6830</v>
      </c>
      <c r="CE45" s="3155">
        <v>7187</v>
      </c>
      <c r="CF45" s="3155">
        <v>7349</v>
      </c>
      <c r="CG45" s="3155">
        <v>6676</v>
      </c>
      <c r="CH45" s="3155">
        <v>6954</v>
      </c>
      <c r="CI45" s="3156">
        <v>9911</v>
      </c>
      <c r="CJ45" s="3157">
        <v>8268</v>
      </c>
      <c r="CK45" s="3158">
        <v>9133</v>
      </c>
      <c r="CL45" s="3158">
        <v>8894</v>
      </c>
      <c r="CM45" s="3158">
        <v>7678</v>
      </c>
      <c r="CN45" s="3158">
        <v>8441</v>
      </c>
      <c r="CO45" s="3158">
        <v>8581</v>
      </c>
      <c r="CP45" s="3158">
        <v>11015</v>
      </c>
      <c r="CQ45" s="3158">
        <v>9745</v>
      </c>
      <c r="CR45" s="3158">
        <v>8934</v>
      </c>
      <c r="CS45" s="3158">
        <v>9422</v>
      </c>
      <c r="CT45" s="3158">
        <v>9758</v>
      </c>
      <c r="CU45" s="3159">
        <v>13693</v>
      </c>
      <c r="CV45" s="3240">
        <v>9727</v>
      </c>
      <c r="CW45" s="3158">
        <v>8552</v>
      </c>
      <c r="CX45" s="3241">
        <v>8459</v>
      </c>
      <c r="CY45" s="3241">
        <v>7753</v>
      </c>
      <c r="CZ45" s="3241">
        <v>8931</v>
      </c>
      <c r="DA45" s="3241">
        <v>10600</v>
      </c>
      <c r="DB45" s="3241">
        <v>11113</v>
      </c>
      <c r="DC45" s="3241">
        <v>9026</v>
      </c>
      <c r="DD45" s="3161">
        <v>8662</v>
      </c>
      <c r="DE45" s="3161">
        <v>9115</v>
      </c>
      <c r="DF45" s="3148"/>
      <c r="DG45" s="3148"/>
      <c r="DH45" s="3271">
        <v>10756</v>
      </c>
      <c r="DI45" s="3272">
        <v>9754</v>
      </c>
      <c r="DJ45" s="3272">
        <v>8681</v>
      </c>
      <c r="DK45" s="3273">
        <v>7775</v>
      </c>
      <c r="DL45" s="3273">
        <v>8907</v>
      </c>
      <c r="DM45" s="3273">
        <v>11583</v>
      </c>
      <c r="DN45" s="3273">
        <v>11360</v>
      </c>
      <c r="DO45" s="3273">
        <v>9236</v>
      </c>
      <c r="DP45" s="3273">
        <v>5887</v>
      </c>
      <c r="DQ45" s="3273">
        <v>5065</v>
      </c>
      <c r="DR45" s="3273">
        <v>5738</v>
      </c>
      <c r="DS45" s="3275">
        <v>8773</v>
      </c>
      <c r="DT45" s="3278">
        <v>6089</v>
      </c>
      <c r="DU45" s="3278">
        <v>5766</v>
      </c>
      <c r="DV45" s="3278">
        <v>5666</v>
      </c>
      <c r="DW45" s="3278">
        <v>5412</v>
      </c>
      <c r="DX45" s="3278">
        <v>5624</v>
      </c>
      <c r="DY45" s="3278">
        <v>7707</v>
      </c>
      <c r="DZ45" s="3279"/>
      <c r="EA45" s="3279"/>
      <c r="EB45" s="3279"/>
      <c r="EC45" s="3279"/>
      <c r="ED45" s="3279"/>
      <c r="EE45" s="3279"/>
      <c r="EF45" s="3278">
        <v>6089</v>
      </c>
      <c r="EG45" s="3278">
        <v>5766</v>
      </c>
      <c r="EH45" s="3278">
        <v>5666</v>
      </c>
      <c r="EI45" s="3278">
        <v>5412</v>
      </c>
      <c r="EJ45" s="3278">
        <v>5624</v>
      </c>
      <c r="EK45" s="3278">
        <v>7707</v>
      </c>
      <c r="EL45" s="3279"/>
      <c r="EM45" s="3279"/>
      <c r="EN45" s="3279"/>
      <c r="EO45" s="3279"/>
      <c r="EP45" s="3279"/>
      <c r="EQ45" s="3279"/>
      <c r="ER45" s="3278">
        <v>6089</v>
      </c>
      <c r="ES45" s="3278">
        <v>5766</v>
      </c>
      <c r="ET45" s="3278">
        <v>5666</v>
      </c>
      <c r="EU45" s="3278">
        <v>5412</v>
      </c>
      <c r="EV45" s="3278">
        <v>5624</v>
      </c>
      <c r="EW45" s="3278">
        <v>7707</v>
      </c>
      <c r="EX45" s="3279"/>
      <c r="EY45" s="3279"/>
      <c r="EZ45" s="3279"/>
      <c r="FA45" s="3279"/>
      <c r="FB45" s="3279"/>
      <c r="FC45" s="3279"/>
      <c r="FD45" s="2716"/>
      <c r="FE45" s="2716"/>
      <c r="FF45" s="2716"/>
      <c r="FG45" s="2716"/>
      <c r="FH45" s="2716"/>
      <c r="FI45" s="2716"/>
      <c r="FJ45" s="2716"/>
      <c r="FK45" s="2716"/>
      <c r="FL45" s="2716"/>
      <c r="FM45" s="2716"/>
      <c r="FN45" s="2716"/>
      <c r="FO45" s="2716"/>
      <c r="FP45" s="2717"/>
      <c r="FQ45" s="2716"/>
      <c r="FR45" s="2716"/>
      <c r="FS45" s="2716"/>
      <c r="FT45" s="2716"/>
      <c r="FU45" s="2716"/>
      <c r="FV45" s="2716"/>
      <c r="FW45" s="2716"/>
      <c r="FX45" s="2716"/>
      <c r="FY45" s="2716"/>
      <c r="FZ45" s="2716"/>
      <c r="GA45" s="2716"/>
      <c r="GB45" s="2718"/>
      <c r="GC45" s="2569"/>
      <c r="GD45" s="2671">
        <v>12994</v>
      </c>
      <c r="GE45" s="2672">
        <v>9399</v>
      </c>
      <c r="GF45" s="2672">
        <v>9879</v>
      </c>
      <c r="GG45" s="2673">
        <v>8063</v>
      </c>
      <c r="GH45" s="2674">
        <v>15429</v>
      </c>
      <c r="GI45" s="2675">
        <v>15775</v>
      </c>
      <c r="GJ45" s="2675">
        <v>18697</v>
      </c>
      <c r="GK45" s="2676">
        <v>13997</v>
      </c>
      <c r="GL45" s="2677">
        <v>18358</v>
      </c>
      <c r="GM45" s="2678">
        <v>15804</v>
      </c>
      <c r="GN45" s="2679">
        <v>20894</v>
      </c>
      <c r="GO45" s="2679">
        <v>21612</v>
      </c>
      <c r="GP45" s="2680">
        <v>24232</v>
      </c>
      <c r="GQ45" s="2681">
        <v>14873</v>
      </c>
      <c r="GR45" s="2681">
        <v>11523</v>
      </c>
      <c r="GS45" s="2682">
        <v>7362.1705763740538</v>
      </c>
      <c r="GT45" s="2683">
        <v>8742</v>
      </c>
      <c r="GU45" s="2684">
        <v>10319</v>
      </c>
      <c r="GV45" s="2684">
        <v>10273</v>
      </c>
      <c r="GW45" s="2685">
        <v>10164</v>
      </c>
      <c r="GX45" s="2681">
        <v>7122</v>
      </c>
      <c r="GY45" s="2681">
        <v>11997</v>
      </c>
      <c r="GZ45" s="2681">
        <v>11359</v>
      </c>
      <c r="HA45" s="2681">
        <v>12541</v>
      </c>
      <c r="HB45" s="2686">
        <v>15537</v>
      </c>
      <c r="HC45" s="2686">
        <v>20289</v>
      </c>
      <c r="HD45" s="2686">
        <v>21366</v>
      </c>
      <c r="HE45" s="2686">
        <v>23541</v>
      </c>
      <c r="HF45" s="2687">
        <v>26295</v>
      </c>
      <c r="HG45" s="2687">
        <v>24700</v>
      </c>
      <c r="HH45" s="2687">
        <v>30182</v>
      </c>
      <c r="HI45" s="2687">
        <v>32873</v>
      </c>
      <c r="HJ45" s="2688">
        <v>26738</v>
      </c>
      <c r="HK45" s="2688">
        <v>25799</v>
      </c>
      <c r="HL45" s="2688">
        <v>29254</v>
      </c>
      <c r="HM45" s="2689">
        <f t="shared" si="9"/>
        <v>29191</v>
      </c>
      <c r="HN45" s="2689">
        <f t="shared" si="10"/>
        <v>28265</v>
      </c>
      <c r="HO45" s="2689">
        <f t="shared" si="11"/>
        <v>26483</v>
      </c>
      <c r="HP45" s="2689">
        <f t="shared" si="12"/>
        <v>19576</v>
      </c>
      <c r="HQ45" s="2690">
        <f t="shared" si="13"/>
        <v>17521</v>
      </c>
      <c r="HR45" s="2690">
        <f t="shared" si="14"/>
        <v>18743</v>
      </c>
      <c r="HS45" s="2570"/>
      <c r="HT45" s="2569"/>
      <c r="HU45" s="2681"/>
      <c r="HV45" s="2686"/>
      <c r="HW45" s="2686"/>
      <c r="HX45" s="2686"/>
      <c r="HY45" s="2681"/>
      <c r="HZ45" s="2686"/>
      <c r="IA45" s="2686"/>
      <c r="IB45" s="2686"/>
      <c r="IC45" s="2686"/>
      <c r="ID45" s="2686"/>
      <c r="IE45" s="2686"/>
      <c r="IF45" s="2686"/>
      <c r="IG45" s="2686"/>
      <c r="IH45" s="2686"/>
      <c r="II45" s="2686"/>
      <c r="IJ45" s="2686"/>
      <c r="IK45" s="2691">
        <v>40335</v>
      </c>
      <c r="IL45" s="3167">
        <v>63898</v>
      </c>
      <c r="IM45" s="3167">
        <v>76668</v>
      </c>
      <c r="IN45" s="3167">
        <v>57992.170576374054</v>
      </c>
      <c r="IO45" s="3167">
        <v>39498</v>
      </c>
      <c r="IP45" s="3167">
        <v>43019</v>
      </c>
      <c r="IQ45" s="3167">
        <v>80733</v>
      </c>
      <c r="IR45" s="3167">
        <v>113562</v>
      </c>
      <c r="IS45" s="3168">
        <v>115389</v>
      </c>
      <c r="IT45" s="3168">
        <f t="shared" si="15"/>
        <v>98848</v>
      </c>
      <c r="IU45" s="3169">
        <f t="shared" si="16"/>
        <v>70963</v>
      </c>
      <c r="IV45" s="3099"/>
      <c r="IW45" s="3099"/>
      <c r="IX45" s="3099"/>
      <c r="IY45" s="3100"/>
      <c r="IZ45" s="3101"/>
      <c r="JA45" s="3578"/>
      <c r="JC45" s="3099"/>
      <c r="JD45" s="3045"/>
      <c r="JE45" s="3045"/>
      <c r="JF45" s="3045"/>
      <c r="JG45" s="3045"/>
      <c r="JH45" s="2566"/>
      <c r="JI45" s="3076"/>
      <c r="JJ45" s="2566"/>
      <c r="JK45" s="2566"/>
      <c r="JL45" s="2566"/>
      <c r="JM45" s="2566"/>
      <c r="JN45" s="2566"/>
      <c r="JO45" s="2566"/>
      <c r="JP45" s="2566"/>
      <c r="JQ45" s="2566"/>
      <c r="JS45" s="3045"/>
      <c r="JT45" s="3045"/>
      <c r="JU45" s="3045"/>
      <c r="JV45" s="3045"/>
      <c r="JW45" s="3045"/>
      <c r="JX45" s="3045"/>
      <c r="JY45" s="3045"/>
      <c r="JZ45" s="3045"/>
      <c r="KA45" s="3045"/>
      <c r="KB45" s="3045"/>
      <c r="KC45" s="3045"/>
      <c r="KD45" s="3045"/>
      <c r="KE45" s="3045"/>
      <c r="KF45" s="3045"/>
      <c r="KG45" s="3045"/>
      <c r="KH45" s="3045"/>
      <c r="KI45" s="3045"/>
      <c r="KJ45" s="3045"/>
      <c r="KK45" s="3045"/>
      <c r="KL45" s="3045"/>
      <c r="KM45" s="3045"/>
      <c r="KN45" s="3045"/>
      <c r="KO45" s="3045"/>
    </row>
    <row r="46" spans="1:301" ht="21.9" hidden="1" customHeight="1" thickBot="1">
      <c r="A46" s="2566"/>
      <c r="B46" s="3045"/>
      <c r="C46" s="3136" t="s">
        <v>52</v>
      </c>
      <c r="D46" s="3170">
        <v>29447</v>
      </c>
      <c r="E46" s="3171">
        <v>29249</v>
      </c>
      <c r="F46" s="3171">
        <v>32536</v>
      </c>
      <c r="G46" s="3171">
        <v>26929</v>
      </c>
      <c r="H46" s="3171">
        <v>28526</v>
      </c>
      <c r="I46" s="3171">
        <v>41105</v>
      </c>
      <c r="J46" s="3171">
        <v>49933</v>
      </c>
      <c r="K46" s="3171">
        <v>42244</v>
      </c>
      <c r="L46" s="3171">
        <v>31407</v>
      </c>
      <c r="M46" s="3171">
        <v>33891</v>
      </c>
      <c r="N46" s="3171">
        <v>35806</v>
      </c>
      <c r="O46" s="3172">
        <v>36780</v>
      </c>
      <c r="P46" s="3173">
        <v>34991</v>
      </c>
      <c r="Q46" s="3174">
        <v>46490</v>
      </c>
      <c r="R46" s="3174">
        <v>36805</v>
      </c>
      <c r="S46" s="3174">
        <v>31105</v>
      </c>
      <c r="T46" s="3174">
        <v>35598</v>
      </c>
      <c r="U46" s="3174">
        <v>45584</v>
      </c>
      <c r="V46" s="3174">
        <v>50484</v>
      </c>
      <c r="W46" s="3174">
        <v>43576</v>
      </c>
      <c r="X46" s="3174">
        <v>34318</v>
      </c>
      <c r="Y46" s="3174">
        <v>36977</v>
      </c>
      <c r="Z46" s="3174">
        <v>38290</v>
      </c>
      <c r="AA46" s="3280">
        <v>37281</v>
      </c>
      <c r="AB46" s="3143">
        <v>35904</v>
      </c>
      <c r="AC46" s="3144">
        <v>32995</v>
      </c>
      <c r="AD46" s="3144">
        <v>34242</v>
      </c>
      <c r="AE46" s="3144">
        <v>33161</v>
      </c>
      <c r="AF46" s="3144">
        <v>32773</v>
      </c>
      <c r="AG46" s="3144">
        <v>46796</v>
      </c>
      <c r="AH46" s="3144">
        <v>50069</v>
      </c>
      <c r="AI46" s="3144">
        <v>44378</v>
      </c>
      <c r="AJ46" s="3144">
        <v>33494</v>
      </c>
      <c r="AK46" s="3144">
        <v>35959</v>
      </c>
      <c r="AL46" s="3144">
        <v>38401</v>
      </c>
      <c r="AM46" s="3144">
        <v>43693</v>
      </c>
      <c r="AN46" s="3145">
        <v>38603</v>
      </c>
      <c r="AO46" s="3145">
        <v>39843</v>
      </c>
      <c r="AP46" s="3145">
        <v>38029</v>
      </c>
      <c r="AQ46" s="3145">
        <v>31598</v>
      </c>
      <c r="AR46" s="3145">
        <v>37116</v>
      </c>
      <c r="AS46" s="3145">
        <v>46093</v>
      </c>
      <c r="AT46" s="3145">
        <v>49766</v>
      </c>
      <c r="AU46" s="3145">
        <v>42481</v>
      </c>
      <c r="AV46" s="3145">
        <v>33003</v>
      </c>
      <c r="AW46" s="3145">
        <v>38298</v>
      </c>
      <c r="AX46" s="3145">
        <v>38170.999999999993</v>
      </c>
      <c r="AY46" s="3146">
        <v>41220</v>
      </c>
      <c r="AZ46" s="3176">
        <v>37463</v>
      </c>
      <c r="BA46" s="3177">
        <v>35978</v>
      </c>
      <c r="BB46" s="3177">
        <v>39415</v>
      </c>
      <c r="BC46" s="3177">
        <v>35949</v>
      </c>
      <c r="BD46" s="3177">
        <v>38023</v>
      </c>
      <c r="BE46" s="3177">
        <v>47844</v>
      </c>
      <c r="BF46" s="3177">
        <v>51152</v>
      </c>
      <c r="BG46" s="3177">
        <v>43036</v>
      </c>
      <c r="BH46" s="3177">
        <v>34628</v>
      </c>
      <c r="BI46" s="3177">
        <v>38582</v>
      </c>
      <c r="BJ46" s="3177">
        <v>41073</v>
      </c>
      <c r="BK46" s="3178">
        <v>44235</v>
      </c>
      <c r="BL46" s="3179">
        <v>37773</v>
      </c>
      <c r="BM46" s="3180">
        <v>35654</v>
      </c>
      <c r="BN46" s="3180">
        <v>40663</v>
      </c>
      <c r="BO46" s="3180">
        <v>36524</v>
      </c>
      <c r="BP46" s="3180">
        <v>40720</v>
      </c>
      <c r="BQ46" s="3180">
        <v>54166</v>
      </c>
      <c r="BR46" s="3180">
        <v>56168</v>
      </c>
      <c r="BS46" s="3180">
        <v>46212</v>
      </c>
      <c r="BT46" s="3181">
        <v>39747</v>
      </c>
      <c r="BU46" s="3181">
        <v>44864</v>
      </c>
      <c r="BV46" s="3181">
        <v>46422</v>
      </c>
      <c r="BW46" s="3225">
        <v>54545</v>
      </c>
      <c r="BX46" s="3226">
        <v>46137</v>
      </c>
      <c r="BY46" s="3227">
        <v>43174</v>
      </c>
      <c r="BZ46" s="3227">
        <v>49027</v>
      </c>
      <c r="CA46" s="3227">
        <v>41634</v>
      </c>
      <c r="CB46" s="3227">
        <v>48103</v>
      </c>
      <c r="CC46" s="3227">
        <v>61054</v>
      </c>
      <c r="CD46" s="3227">
        <v>64119</v>
      </c>
      <c r="CE46" s="3227">
        <v>52709</v>
      </c>
      <c r="CF46" s="3227">
        <v>49386</v>
      </c>
      <c r="CG46" s="3227">
        <v>52967</v>
      </c>
      <c r="CH46" s="3227">
        <v>56261</v>
      </c>
      <c r="CI46" s="3281">
        <v>64359</v>
      </c>
      <c r="CJ46" s="3186">
        <v>51688</v>
      </c>
      <c r="CK46" s="3187">
        <v>53622</v>
      </c>
      <c r="CL46" s="3187">
        <v>51748</v>
      </c>
      <c r="CM46" s="3187">
        <v>49570</v>
      </c>
      <c r="CN46" s="3187">
        <v>52174</v>
      </c>
      <c r="CO46" s="3187">
        <v>58795</v>
      </c>
      <c r="CP46" s="3187">
        <v>71099</v>
      </c>
      <c r="CQ46" s="3187">
        <v>57790</v>
      </c>
      <c r="CR46" s="3187">
        <v>55854</v>
      </c>
      <c r="CS46" s="3187">
        <v>59469</v>
      </c>
      <c r="CT46" s="3187">
        <v>63257</v>
      </c>
      <c r="CU46" s="3188">
        <v>77949</v>
      </c>
      <c r="CV46" s="3189">
        <v>58224</v>
      </c>
      <c r="CW46" s="3190">
        <v>53321</v>
      </c>
      <c r="CX46" s="3191">
        <v>59393</v>
      </c>
      <c r="CY46" s="3191">
        <v>53854</v>
      </c>
      <c r="CZ46" s="3191">
        <v>56638</v>
      </c>
      <c r="DA46" s="3191">
        <v>67138</v>
      </c>
      <c r="DB46" s="3191">
        <v>73006</v>
      </c>
      <c r="DC46" s="3191">
        <v>52994</v>
      </c>
      <c r="DD46" s="3192">
        <v>51643</v>
      </c>
      <c r="DE46" s="3192">
        <v>56449</v>
      </c>
      <c r="DF46" s="3148"/>
      <c r="DG46" s="3148"/>
      <c r="DH46" s="3193">
        <v>52833</v>
      </c>
      <c r="DI46" s="3194">
        <v>51438</v>
      </c>
      <c r="DJ46" s="3194">
        <v>54420</v>
      </c>
      <c r="DK46" s="3195">
        <v>40983</v>
      </c>
      <c r="DL46" s="3195">
        <v>46162</v>
      </c>
      <c r="DM46" s="3195">
        <v>61277</v>
      </c>
      <c r="DN46" s="3195">
        <v>66352</v>
      </c>
      <c r="DO46" s="3195">
        <v>47805</v>
      </c>
      <c r="DP46" s="3195">
        <v>40169</v>
      </c>
      <c r="DQ46" s="3195">
        <v>53831</v>
      </c>
      <c r="DR46" s="3195">
        <v>48311</v>
      </c>
      <c r="DS46" s="3282">
        <v>64045</v>
      </c>
      <c r="DT46" s="3283">
        <v>50614</v>
      </c>
      <c r="DU46" s="3283">
        <v>47432</v>
      </c>
      <c r="DV46" s="3283">
        <v>53021</v>
      </c>
      <c r="DW46" s="3283">
        <v>50208</v>
      </c>
      <c r="DX46" s="3283">
        <v>46786</v>
      </c>
      <c r="DY46" s="3283">
        <v>65866</v>
      </c>
      <c r="DZ46" s="3284"/>
      <c r="EA46" s="3284"/>
      <c r="EB46" s="3284"/>
      <c r="EC46" s="3284"/>
      <c r="ED46" s="3284"/>
      <c r="EE46" s="3284"/>
      <c r="EF46" s="3283">
        <v>50614</v>
      </c>
      <c r="EG46" s="3283">
        <v>47432</v>
      </c>
      <c r="EH46" s="3283">
        <v>53021</v>
      </c>
      <c r="EI46" s="3283">
        <v>50208</v>
      </c>
      <c r="EJ46" s="3283">
        <v>46786</v>
      </c>
      <c r="EK46" s="3283">
        <v>65866</v>
      </c>
      <c r="EL46" s="3284"/>
      <c r="EM46" s="3284"/>
      <c r="EN46" s="3284"/>
      <c r="EO46" s="3284"/>
      <c r="EP46" s="3284"/>
      <c r="EQ46" s="3284"/>
      <c r="ER46" s="3283">
        <v>50614</v>
      </c>
      <c r="ES46" s="3283">
        <v>47432</v>
      </c>
      <c r="ET46" s="3283">
        <v>53021</v>
      </c>
      <c r="EU46" s="3283">
        <v>50208</v>
      </c>
      <c r="EV46" s="3283">
        <v>46786</v>
      </c>
      <c r="EW46" s="3283">
        <v>65866</v>
      </c>
      <c r="EX46" s="3284"/>
      <c r="EY46" s="3284"/>
      <c r="EZ46" s="3284"/>
      <c r="FA46" s="3284"/>
      <c r="FB46" s="3284"/>
      <c r="FC46" s="3284"/>
      <c r="FD46" s="2716"/>
      <c r="FE46" s="2716"/>
      <c r="FF46" s="2716"/>
      <c r="FG46" s="2716"/>
      <c r="FH46" s="2716"/>
      <c r="FI46" s="2716"/>
      <c r="FJ46" s="2716"/>
      <c r="FK46" s="2716"/>
      <c r="FL46" s="2716"/>
      <c r="FM46" s="2716"/>
      <c r="FN46" s="2716"/>
      <c r="FO46" s="2716"/>
      <c r="FP46" s="2717"/>
      <c r="FQ46" s="2716"/>
      <c r="FR46" s="2716"/>
      <c r="FS46" s="2716"/>
      <c r="FT46" s="2716"/>
      <c r="FU46" s="2716"/>
      <c r="FV46" s="2716"/>
      <c r="FW46" s="2716"/>
      <c r="FX46" s="2716"/>
      <c r="FY46" s="2716"/>
      <c r="FZ46" s="2716"/>
      <c r="GA46" s="2716"/>
      <c r="GB46" s="2718"/>
      <c r="GC46" s="2569"/>
      <c r="GD46" s="2692">
        <v>91232</v>
      </c>
      <c r="GE46" s="2693">
        <v>96560</v>
      </c>
      <c r="GF46" s="2693">
        <v>123584</v>
      </c>
      <c r="GG46" s="2694">
        <v>106477</v>
      </c>
      <c r="GH46" s="2695">
        <v>118286</v>
      </c>
      <c r="GI46" s="2696">
        <v>112287</v>
      </c>
      <c r="GJ46" s="2696">
        <v>128378</v>
      </c>
      <c r="GK46" s="2697">
        <v>112548</v>
      </c>
      <c r="GL46" s="2698">
        <v>103141</v>
      </c>
      <c r="GM46" s="2699">
        <v>112730</v>
      </c>
      <c r="GN46" s="2699">
        <v>127941</v>
      </c>
      <c r="GO46" s="2699">
        <v>118053</v>
      </c>
      <c r="GP46" s="2700">
        <v>116475</v>
      </c>
      <c r="GQ46" s="2701">
        <v>114805</v>
      </c>
      <c r="GR46" s="2701">
        <v>125250</v>
      </c>
      <c r="GS46" s="2709">
        <v>117689</v>
      </c>
      <c r="GT46" s="2702">
        <v>112856</v>
      </c>
      <c r="GU46" s="2703">
        <v>121816</v>
      </c>
      <c r="GV46" s="2703">
        <v>128816</v>
      </c>
      <c r="GW46" s="2704">
        <v>123890</v>
      </c>
      <c r="GX46" s="2681">
        <v>114090</v>
      </c>
      <c r="GY46" s="2681">
        <v>131410</v>
      </c>
      <c r="GZ46" s="2681">
        <v>142127</v>
      </c>
      <c r="HA46" s="2681">
        <v>145831</v>
      </c>
      <c r="HB46" s="2686">
        <v>138338</v>
      </c>
      <c r="HC46" s="2686">
        <v>150791</v>
      </c>
      <c r="HD46" s="2686">
        <v>166214</v>
      </c>
      <c r="HE46" s="2686">
        <v>173587</v>
      </c>
      <c r="HF46" s="2687">
        <v>157058</v>
      </c>
      <c r="HG46" s="2687">
        <v>160539</v>
      </c>
      <c r="HH46" s="2687">
        <v>188358</v>
      </c>
      <c r="HI46" s="2687">
        <v>200675</v>
      </c>
      <c r="HJ46" s="2688">
        <v>170938</v>
      </c>
      <c r="HK46" s="2688">
        <v>166941</v>
      </c>
      <c r="HL46" s="2688">
        <v>182449</v>
      </c>
      <c r="HM46" s="2689">
        <f t="shared" si="9"/>
        <v>158691</v>
      </c>
      <c r="HN46" s="2689">
        <f t="shared" si="10"/>
        <v>148422</v>
      </c>
      <c r="HO46" s="2689">
        <f t="shared" si="11"/>
        <v>154326</v>
      </c>
      <c r="HP46" s="2689">
        <f t="shared" si="12"/>
        <v>166187</v>
      </c>
      <c r="HQ46" s="2690">
        <f t="shared" si="13"/>
        <v>151067</v>
      </c>
      <c r="HR46" s="2690">
        <f t="shared" si="14"/>
        <v>162860</v>
      </c>
      <c r="HS46" s="2570"/>
      <c r="HT46" s="2569"/>
      <c r="HU46" s="2681"/>
      <c r="HV46" s="2686"/>
      <c r="HW46" s="2686"/>
      <c r="HX46" s="2686"/>
      <c r="HY46" s="2681"/>
      <c r="HZ46" s="2686"/>
      <c r="IA46" s="2686"/>
      <c r="IB46" s="2686"/>
      <c r="IC46" s="2686"/>
      <c r="ID46" s="2686"/>
      <c r="IE46" s="2686"/>
      <c r="IF46" s="2686"/>
      <c r="IG46" s="2686"/>
      <c r="IH46" s="2686"/>
      <c r="II46" s="2686"/>
      <c r="IJ46" s="2686"/>
      <c r="IK46" s="2705">
        <v>417853</v>
      </c>
      <c r="IL46" s="3199">
        <v>471499</v>
      </c>
      <c r="IM46" s="3199">
        <v>461865</v>
      </c>
      <c r="IN46" s="3199">
        <v>474221</v>
      </c>
      <c r="IO46" s="3199">
        <v>487378</v>
      </c>
      <c r="IP46" s="3199">
        <v>533458</v>
      </c>
      <c r="IQ46" s="3199">
        <v>628930</v>
      </c>
      <c r="IR46" s="3199">
        <v>703015</v>
      </c>
      <c r="IS46" s="3168">
        <v>723866</v>
      </c>
      <c r="IT46" s="3168">
        <f t="shared" si="15"/>
        <v>625407</v>
      </c>
      <c r="IU46" s="3169">
        <f t="shared" si="16"/>
        <v>568088</v>
      </c>
      <c r="IV46" s="3099"/>
      <c r="IW46" s="3099"/>
      <c r="IX46" s="3099"/>
      <c r="IY46" s="3100"/>
      <c r="IZ46" s="3101"/>
      <c r="JA46" s="3578"/>
      <c r="JC46" s="3099"/>
      <c r="JD46" s="3045"/>
      <c r="JE46" s="3045"/>
      <c r="JF46" s="3045"/>
      <c r="JG46" s="3045"/>
      <c r="JH46" s="2566"/>
      <c r="JI46" s="3076"/>
      <c r="JJ46" s="2566"/>
      <c r="JK46" s="2566"/>
      <c r="JL46" s="2566"/>
      <c r="JM46" s="2566"/>
      <c r="JN46" s="2566"/>
      <c r="JO46" s="2566"/>
      <c r="JP46" s="2566"/>
      <c r="JQ46" s="2566"/>
      <c r="JS46" s="3045"/>
      <c r="JT46" s="3045"/>
      <c r="JU46" s="3045"/>
      <c r="JV46" s="3045"/>
      <c r="JW46" s="3045"/>
      <c r="JX46" s="3045"/>
      <c r="JY46" s="3045"/>
      <c r="JZ46" s="3045"/>
      <c r="KA46" s="3045"/>
      <c r="KB46" s="3045"/>
      <c r="KC46" s="3045"/>
      <c r="KD46" s="3045"/>
      <c r="KE46" s="3045"/>
      <c r="KF46" s="3045"/>
      <c r="KG46" s="3045"/>
      <c r="KH46" s="3045"/>
      <c r="KI46" s="3045"/>
      <c r="KJ46" s="3045"/>
      <c r="KK46" s="3045"/>
      <c r="KL46" s="3045"/>
      <c r="KM46" s="3045"/>
      <c r="KN46" s="3045"/>
      <c r="KO46" s="3045"/>
    </row>
    <row r="47" spans="1:301" ht="18.75" hidden="1" customHeight="1">
      <c r="A47" s="2566"/>
      <c r="B47" s="3285"/>
      <c r="C47" s="3286"/>
      <c r="D47" s="3287">
        <v>0</v>
      </c>
      <c r="E47" s="3287">
        <v>0</v>
      </c>
      <c r="F47" s="3287">
        <v>0</v>
      </c>
      <c r="G47" s="3288">
        <v>0</v>
      </c>
      <c r="H47" s="3287">
        <v>0</v>
      </c>
      <c r="I47" s="3287">
        <v>0</v>
      </c>
      <c r="J47" s="3287">
        <v>0</v>
      </c>
      <c r="K47" s="3287">
        <v>0</v>
      </c>
      <c r="L47" s="3287">
        <v>0</v>
      </c>
      <c r="M47" s="3288">
        <v>0</v>
      </c>
      <c r="N47" s="3287">
        <v>0</v>
      </c>
      <c r="O47" s="3287">
        <v>0</v>
      </c>
      <c r="P47" s="3287">
        <v>0</v>
      </c>
      <c r="Q47" s="3287">
        <v>0</v>
      </c>
      <c r="R47" s="3287">
        <v>0</v>
      </c>
      <c r="S47" s="3288">
        <v>0</v>
      </c>
      <c r="T47" s="3287">
        <v>0</v>
      </c>
      <c r="U47" s="3287">
        <v>0</v>
      </c>
      <c r="V47" s="3287">
        <v>0</v>
      </c>
      <c r="W47" s="3287">
        <v>0</v>
      </c>
      <c r="X47" s="3287">
        <v>0</v>
      </c>
      <c r="Y47" s="3287">
        <v>0</v>
      </c>
      <c r="Z47" s="3287">
        <v>0</v>
      </c>
      <c r="AA47" s="3287">
        <v>0</v>
      </c>
      <c r="AB47" s="3287">
        <v>0</v>
      </c>
      <c r="AC47" s="3287">
        <v>0</v>
      </c>
      <c r="AD47" s="3287">
        <v>0</v>
      </c>
      <c r="AE47" s="3287">
        <v>0</v>
      </c>
      <c r="AF47" s="3287">
        <v>0</v>
      </c>
      <c r="AG47" s="3287">
        <v>0</v>
      </c>
      <c r="AH47" s="3287">
        <v>0</v>
      </c>
      <c r="AI47" s="3287">
        <v>0</v>
      </c>
      <c r="AJ47" s="3287">
        <v>0</v>
      </c>
      <c r="AK47" s="3287">
        <v>0</v>
      </c>
      <c r="AL47" s="3287">
        <v>0</v>
      </c>
      <c r="AM47" s="3287">
        <v>0</v>
      </c>
      <c r="AN47" s="3287">
        <v>0</v>
      </c>
      <c r="AO47" s="3287">
        <v>0</v>
      </c>
      <c r="AP47" s="3287">
        <v>0</v>
      </c>
      <c r="AQ47" s="3287">
        <v>0</v>
      </c>
      <c r="AR47" s="3287">
        <v>0</v>
      </c>
      <c r="AS47" s="3287">
        <v>0</v>
      </c>
      <c r="AT47" s="3287">
        <v>0</v>
      </c>
      <c r="AU47" s="3287">
        <v>0</v>
      </c>
      <c r="AV47" s="3287">
        <v>0</v>
      </c>
      <c r="AW47" s="3287">
        <v>0</v>
      </c>
      <c r="AX47" s="3287">
        <v>38170.999999999993</v>
      </c>
      <c r="AY47" s="3287">
        <v>0</v>
      </c>
      <c r="AZ47" s="3289">
        <v>0</v>
      </c>
      <c r="BA47" s="3289">
        <v>0</v>
      </c>
      <c r="BB47" s="3289">
        <v>0</v>
      </c>
      <c r="BC47" s="3289">
        <v>0</v>
      </c>
      <c r="BD47" s="3289">
        <v>0</v>
      </c>
      <c r="BE47" s="3289">
        <v>0</v>
      </c>
      <c r="BF47" s="3289"/>
      <c r="BG47" s="3289">
        <v>0</v>
      </c>
      <c r="BH47" s="3289"/>
      <c r="BI47" s="3289">
        <v>0</v>
      </c>
      <c r="BJ47" s="3289"/>
      <c r="BK47" s="3289">
        <v>0</v>
      </c>
      <c r="BL47" s="3289"/>
      <c r="BM47" s="3289"/>
      <c r="BN47" s="3289"/>
      <c r="BO47" s="3289">
        <v>0</v>
      </c>
      <c r="BP47" s="3289"/>
      <c r="BQ47" s="3289"/>
      <c r="BR47" s="3289"/>
      <c r="BS47" s="3289"/>
      <c r="BT47" s="3289"/>
      <c r="BU47" s="3289"/>
      <c r="BV47" s="3289"/>
      <c r="BW47" s="3289"/>
      <c r="BX47" s="3289"/>
      <c r="BY47" s="3289"/>
      <c r="BZ47" s="3289"/>
      <c r="CA47" s="3289"/>
      <c r="CB47" s="3289"/>
      <c r="CC47" s="3289"/>
      <c r="CD47" s="3289"/>
      <c r="CE47" s="3289"/>
      <c r="CF47" s="3289"/>
      <c r="CG47" s="3289"/>
      <c r="CH47" s="3289"/>
      <c r="CI47" s="3289"/>
      <c r="CJ47" s="3289"/>
      <c r="CK47" s="3289"/>
      <c r="CL47" s="3289"/>
      <c r="CM47" s="3289"/>
      <c r="CN47" s="3289"/>
      <c r="CO47" s="3289"/>
      <c r="CP47" s="3289"/>
      <c r="CQ47" s="3289"/>
      <c r="CR47" s="3289"/>
      <c r="CS47" s="3289"/>
      <c r="CT47" s="3289"/>
      <c r="CU47" s="3289"/>
      <c r="CV47" s="3289">
        <v>0</v>
      </c>
      <c r="CW47" s="3289"/>
      <c r="CX47" s="3289"/>
      <c r="CY47" s="3289"/>
      <c r="CZ47" s="3289"/>
      <c r="DA47" s="3289"/>
      <c r="DB47" s="3289"/>
      <c r="DC47" s="3289"/>
      <c r="DD47" s="3289"/>
      <c r="DE47" s="3289"/>
      <c r="DF47" s="3289"/>
      <c r="DG47" s="3289"/>
      <c r="DH47" s="3290"/>
      <c r="DI47" s="3290"/>
      <c r="DJ47" s="3290"/>
      <c r="DK47" s="3290"/>
      <c r="DL47" s="3290"/>
      <c r="DM47" s="3290"/>
      <c r="DN47" s="3290"/>
      <c r="DO47" s="3290"/>
      <c r="DP47" s="3290"/>
      <c r="DQ47" s="3290"/>
      <c r="DR47" s="3290"/>
      <c r="DS47" s="3290"/>
      <c r="DT47" s="3290"/>
      <c r="DU47" s="3290"/>
      <c r="DV47" s="3290"/>
      <c r="DW47" s="3290"/>
      <c r="DX47" s="3290"/>
      <c r="DY47" s="3290"/>
      <c r="DZ47" s="3290"/>
      <c r="EA47" s="3290"/>
      <c r="EB47" s="3290"/>
      <c r="EC47" s="3290"/>
      <c r="ED47" s="3290"/>
      <c r="EE47" s="3290"/>
      <c r="EF47" s="3290"/>
      <c r="EG47" s="3290"/>
      <c r="EH47" s="3290"/>
      <c r="EI47" s="3290"/>
      <c r="EJ47" s="3290"/>
      <c r="EK47" s="3290"/>
      <c r="EL47" s="3290"/>
      <c r="EM47" s="3290"/>
      <c r="EN47" s="3290"/>
      <c r="EO47" s="3290"/>
      <c r="EP47" s="3290"/>
      <c r="EQ47" s="3290"/>
      <c r="ER47" s="3290"/>
      <c r="ES47" s="3290"/>
      <c r="ET47" s="3290"/>
      <c r="EU47" s="3290"/>
      <c r="EV47" s="3290"/>
      <c r="EW47" s="3290"/>
      <c r="EX47" s="3290"/>
      <c r="EY47" s="3290"/>
      <c r="EZ47" s="3290"/>
      <c r="FA47" s="3290"/>
      <c r="FB47" s="3290"/>
      <c r="FC47" s="3290"/>
      <c r="FD47" s="2602"/>
      <c r="FE47" s="2602"/>
      <c r="FF47" s="2602"/>
      <c r="FG47" s="2602"/>
      <c r="FH47" s="2602"/>
      <c r="FI47" s="2602"/>
      <c r="FJ47" s="2602"/>
      <c r="FK47" s="2602"/>
      <c r="FL47" s="2602"/>
      <c r="FM47" s="2602"/>
      <c r="FN47" s="2602"/>
      <c r="FO47" s="2602"/>
      <c r="FP47" s="2603"/>
      <c r="FQ47" s="2602"/>
      <c r="FR47" s="2602"/>
      <c r="FS47" s="2602"/>
      <c r="FT47" s="2602"/>
      <c r="FU47" s="2602"/>
      <c r="FV47" s="2602"/>
      <c r="FW47" s="2602"/>
      <c r="FX47" s="2602"/>
      <c r="FY47" s="2602"/>
      <c r="FZ47" s="2602"/>
      <c r="GA47" s="2602"/>
      <c r="GB47" s="2595"/>
      <c r="GC47" s="2573">
        <v>0</v>
      </c>
      <c r="GD47" s="2573">
        <v>0</v>
      </c>
      <c r="GE47" s="2573">
        <v>0</v>
      </c>
      <c r="GF47" s="2573">
        <v>0</v>
      </c>
      <c r="GG47" s="2573">
        <v>0</v>
      </c>
      <c r="GH47" s="2573">
        <v>0</v>
      </c>
      <c r="GI47" s="2573">
        <v>0</v>
      </c>
      <c r="GJ47" s="2573">
        <v>0</v>
      </c>
      <c r="GK47" s="2573">
        <v>0</v>
      </c>
      <c r="GL47" s="2573">
        <v>0</v>
      </c>
      <c r="GM47" s="2573">
        <v>0</v>
      </c>
      <c r="GN47" s="2573">
        <v>0</v>
      </c>
      <c r="GO47" s="2573">
        <v>0</v>
      </c>
      <c r="GP47" s="2573">
        <v>0</v>
      </c>
      <c r="GQ47" s="2573">
        <v>-2</v>
      </c>
      <c r="GR47" s="2573">
        <v>0</v>
      </c>
      <c r="GS47" s="2573">
        <v>0</v>
      </c>
      <c r="GT47" s="2573">
        <v>0</v>
      </c>
      <c r="GU47" s="2573"/>
      <c r="GV47" s="2573"/>
      <c r="GW47" s="2573"/>
      <c r="GX47" s="2573">
        <v>0</v>
      </c>
      <c r="GY47" s="2573"/>
      <c r="GZ47" s="2573"/>
      <c r="HA47" s="2573"/>
      <c r="HB47" s="2573"/>
      <c r="HC47" s="2573"/>
      <c r="HD47" s="2573"/>
      <c r="HE47" s="2573"/>
      <c r="HF47" s="2573"/>
      <c r="HG47" s="2573"/>
      <c r="HH47" s="2573"/>
      <c r="HI47" s="2573"/>
      <c r="HJ47" s="2573"/>
      <c r="HK47" s="2573"/>
      <c r="HL47" s="2573"/>
      <c r="HM47" s="2602"/>
      <c r="HN47" s="2602"/>
      <c r="HO47" s="2602"/>
      <c r="HP47" s="2602"/>
      <c r="HQ47" s="2602"/>
      <c r="HR47" s="2602"/>
      <c r="HS47" s="2602"/>
      <c r="HT47" s="2573"/>
      <c r="HU47" s="2573"/>
      <c r="HV47" s="2573"/>
      <c r="HW47" s="2573"/>
      <c r="HX47" s="2573"/>
      <c r="HY47" s="2573"/>
      <c r="HZ47" s="2573"/>
      <c r="IA47" s="2573"/>
      <c r="IB47" s="2573"/>
      <c r="IC47" s="2573"/>
      <c r="ID47" s="2573"/>
      <c r="IE47" s="2573"/>
      <c r="IF47" s="2573"/>
      <c r="IG47" s="2573"/>
      <c r="IH47" s="2573"/>
      <c r="II47" s="2573"/>
      <c r="IJ47" s="2573"/>
      <c r="IK47" s="2604"/>
      <c r="IL47" s="3236"/>
      <c r="IM47" s="3236"/>
      <c r="IN47" s="3236"/>
      <c r="IO47" s="3236"/>
      <c r="IP47" s="3236"/>
      <c r="IQ47" s="3236"/>
      <c r="IR47" s="3236"/>
      <c r="IS47" s="3236"/>
      <c r="IT47" s="3236"/>
      <c r="IU47" s="3213"/>
      <c r="IV47" s="3291"/>
      <c r="IW47" s="3291"/>
      <c r="IX47" s="3291"/>
      <c r="IY47" s="3292"/>
      <c r="IZ47" s="3293"/>
      <c r="JA47" s="3578"/>
      <c r="JC47" s="3291"/>
      <c r="JD47" s="2566"/>
      <c r="JE47" s="2566"/>
      <c r="JF47" s="2566"/>
      <c r="JG47" s="2566"/>
      <c r="JH47" s="2566"/>
      <c r="JI47" s="3076"/>
      <c r="JJ47" s="2566"/>
      <c r="JK47" s="2566"/>
      <c r="JL47" s="2566"/>
      <c r="JM47" s="2566"/>
      <c r="JN47" s="2566"/>
      <c r="JO47" s="2566"/>
      <c r="JP47" s="2566"/>
      <c r="JQ47" s="2566"/>
      <c r="JS47" s="2566"/>
      <c r="JT47" s="2566"/>
      <c r="JU47" s="2566"/>
      <c r="JV47" s="2566"/>
      <c r="JW47" s="2566"/>
      <c r="JX47" s="2566"/>
      <c r="JY47" s="2566"/>
      <c r="JZ47" s="2566"/>
      <c r="KA47" s="2566"/>
      <c r="KB47" s="2566"/>
      <c r="KC47" s="2566"/>
      <c r="KD47" s="2566"/>
      <c r="KE47" s="2566"/>
      <c r="KF47" s="2566"/>
      <c r="KG47" s="2566"/>
      <c r="KH47" s="2566"/>
      <c r="KI47" s="2566"/>
      <c r="KJ47" s="2566"/>
      <c r="KK47" s="2566"/>
      <c r="KL47" s="2566"/>
      <c r="KM47" s="2566"/>
      <c r="KN47" s="2566"/>
      <c r="KO47" s="2566"/>
    </row>
    <row r="48" spans="1:301" ht="19.5" hidden="1" customHeight="1" thickBot="1">
      <c r="A48" s="2566"/>
      <c r="B48" s="2566"/>
      <c r="C48" s="3056"/>
      <c r="D48" s="2568"/>
      <c r="E48" s="2573"/>
      <c r="F48" s="2573"/>
      <c r="G48" s="2573"/>
      <c r="H48" s="2573"/>
      <c r="I48" s="2573"/>
      <c r="J48" s="2573"/>
      <c r="K48" s="2573"/>
      <c r="L48" s="2573"/>
      <c r="M48" s="2573"/>
      <c r="N48" s="2573"/>
      <c r="O48" s="3234"/>
      <c r="P48" s="3229"/>
      <c r="Q48" s="3229"/>
      <c r="R48" s="3229"/>
      <c r="S48" s="3229"/>
      <c r="T48" s="3229"/>
      <c r="U48" s="3229"/>
      <c r="V48" s="3229"/>
      <c r="W48" s="3229"/>
      <c r="X48" s="3229"/>
      <c r="Y48" s="3229"/>
      <c r="Z48" s="3229"/>
      <c r="AA48" s="3235"/>
      <c r="AB48" s="3229"/>
      <c r="AC48" s="3229"/>
      <c r="AD48" s="3229"/>
      <c r="AE48" s="3229"/>
      <c r="AF48" s="3229"/>
      <c r="AG48" s="3229"/>
      <c r="AH48" s="3229"/>
      <c r="AI48" s="3229"/>
      <c r="AJ48" s="3229"/>
      <c r="AK48" s="3229"/>
      <c r="AL48" s="3229"/>
      <c r="AM48" s="3229"/>
      <c r="AN48" s="3229"/>
      <c r="AO48" s="3229"/>
      <c r="AP48" s="3229"/>
      <c r="AQ48" s="3229"/>
      <c r="AR48" s="3229"/>
      <c r="AS48" s="3229"/>
      <c r="AT48" s="3229"/>
      <c r="AU48" s="3229"/>
      <c r="AV48" s="3229"/>
      <c r="AW48" s="3229"/>
      <c r="AX48" s="3229"/>
      <c r="AY48" s="3229"/>
      <c r="AZ48" s="2573"/>
      <c r="BA48" s="2573"/>
      <c r="BB48" s="2573"/>
      <c r="BC48" s="2573"/>
      <c r="BD48" s="2573"/>
      <c r="BE48" s="2573"/>
      <c r="BF48" s="2573"/>
      <c r="BG48" s="2573"/>
      <c r="BH48" s="2573"/>
      <c r="BI48" s="2573"/>
      <c r="BJ48" s="2573"/>
      <c r="BK48" s="2573"/>
      <c r="BL48" s="2573"/>
      <c r="BM48" s="2573"/>
      <c r="BN48" s="2573"/>
      <c r="BO48" s="2573"/>
      <c r="BP48" s="2573"/>
      <c r="BQ48" s="2573"/>
      <c r="BR48" s="2573"/>
      <c r="BS48" s="2573"/>
      <c r="BT48" s="2573"/>
      <c r="BU48" s="2573"/>
      <c r="BV48" s="2573"/>
      <c r="BW48" s="2573"/>
      <c r="BX48" s="2573"/>
      <c r="BY48" s="2573"/>
      <c r="BZ48" s="2573"/>
      <c r="CA48" s="2573"/>
      <c r="CB48" s="2573"/>
      <c r="CC48" s="2573"/>
      <c r="CD48" s="2573"/>
      <c r="CE48" s="2573"/>
      <c r="CF48" s="2573"/>
      <c r="CG48" s="2573"/>
      <c r="CH48" s="2573"/>
      <c r="CI48" s="2573"/>
      <c r="CJ48" s="2573"/>
      <c r="CK48" s="2573"/>
      <c r="CL48" s="2573"/>
      <c r="CM48" s="2573"/>
      <c r="CN48" s="2573"/>
      <c r="CO48" s="2573"/>
      <c r="CP48" s="2573"/>
      <c r="CQ48" s="2573"/>
      <c r="CR48" s="2573"/>
      <c r="CS48" s="2573"/>
      <c r="CT48" s="2573"/>
      <c r="CU48" s="2573"/>
      <c r="CV48" s="2573"/>
      <c r="CW48" s="2573"/>
      <c r="CX48" s="2573"/>
      <c r="CY48" s="2573"/>
      <c r="CZ48" s="2573"/>
      <c r="DA48" s="2573"/>
      <c r="DB48" s="2573"/>
      <c r="DC48" s="2573"/>
      <c r="DD48" s="2573"/>
      <c r="DE48" s="2573"/>
      <c r="DF48" s="2573"/>
      <c r="DG48" s="2573"/>
      <c r="DH48" s="2531"/>
      <c r="DI48" s="2531"/>
      <c r="DJ48" s="2531"/>
      <c r="DK48" s="2531"/>
      <c r="DL48" s="2531"/>
      <c r="DM48" s="2531"/>
      <c r="DN48" s="2531"/>
      <c r="DO48" s="2531"/>
      <c r="DP48" s="2531"/>
      <c r="DQ48" s="2531"/>
      <c r="DR48" s="2531"/>
      <c r="DS48" s="2531"/>
      <c r="DT48" s="2531"/>
      <c r="DU48" s="2531"/>
      <c r="DV48" s="2531"/>
      <c r="DW48" s="2531"/>
      <c r="DX48" s="2531"/>
      <c r="DY48" s="2531"/>
      <c r="DZ48" s="2531"/>
      <c r="EA48" s="2531"/>
      <c r="EB48" s="2531"/>
      <c r="EC48" s="2531"/>
      <c r="ED48" s="2531"/>
      <c r="EE48" s="2531"/>
      <c r="EF48" s="2531"/>
      <c r="EG48" s="2531"/>
      <c r="EH48" s="2531"/>
      <c r="EI48" s="2531"/>
      <c r="EJ48" s="2531"/>
      <c r="EK48" s="2531"/>
      <c r="EL48" s="2531"/>
      <c r="EM48" s="2531"/>
      <c r="EN48" s="2531"/>
      <c r="EO48" s="2531"/>
      <c r="EP48" s="2531"/>
      <c r="EQ48" s="2531"/>
      <c r="ER48" s="2531"/>
      <c r="ES48" s="2531"/>
      <c r="ET48" s="2531"/>
      <c r="EU48" s="2531"/>
      <c r="EV48" s="2531"/>
      <c r="EW48" s="2531"/>
      <c r="EX48" s="2531"/>
      <c r="EY48" s="2531"/>
      <c r="EZ48" s="2531"/>
      <c r="FA48" s="2531"/>
      <c r="FB48" s="2531"/>
      <c r="FC48" s="2531"/>
      <c r="FD48" s="2602"/>
      <c r="FE48" s="2602"/>
      <c r="FF48" s="2602"/>
      <c r="FG48" s="2602"/>
      <c r="FH48" s="2602"/>
      <c r="FI48" s="2602"/>
      <c r="FJ48" s="2602"/>
      <c r="FK48" s="2602"/>
      <c r="FL48" s="2602"/>
      <c r="FM48" s="2602"/>
      <c r="FN48" s="2602"/>
      <c r="FO48" s="2602"/>
      <c r="FP48" s="2603"/>
      <c r="FQ48" s="2602"/>
      <c r="FR48" s="2602"/>
      <c r="FS48" s="2602"/>
      <c r="FT48" s="2602"/>
      <c r="FU48" s="2602"/>
      <c r="FV48" s="2602"/>
      <c r="FW48" s="2602"/>
      <c r="FX48" s="2602"/>
      <c r="FY48" s="2602"/>
      <c r="FZ48" s="2602"/>
      <c r="GA48" s="2602"/>
      <c r="GB48" s="2595"/>
      <c r="GC48" s="2569"/>
      <c r="GD48" s="2576"/>
      <c r="GE48" s="2576"/>
      <c r="GF48" s="2576"/>
      <c r="GG48" s="2576"/>
      <c r="GH48" s="2576"/>
      <c r="GI48" s="2576"/>
      <c r="GJ48" s="2576"/>
      <c r="GK48" s="2576"/>
      <c r="GL48" s="2573"/>
      <c r="GM48" s="2573"/>
      <c r="GN48" s="2573"/>
      <c r="GO48" s="2576"/>
      <c r="GP48" s="2576"/>
      <c r="GQ48" s="2576"/>
      <c r="GR48" s="2576"/>
      <c r="GS48" s="2576"/>
      <c r="GT48" s="2573"/>
      <c r="GU48" s="2573"/>
      <c r="GV48" s="2573"/>
      <c r="GW48" s="2573"/>
      <c r="GX48" s="2569"/>
      <c r="GY48" s="2569"/>
      <c r="GZ48" s="2569"/>
      <c r="HA48" s="2569"/>
      <c r="HB48" s="2569"/>
      <c r="HC48" s="2569"/>
      <c r="HD48" s="2569"/>
      <c r="HE48" s="2569"/>
      <c r="HF48" s="2569"/>
      <c r="HG48" s="2569"/>
      <c r="HH48" s="2569"/>
      <c r="HI48" s="2569"/>
      <c r="HJ48" s="2569"/>
      <c r="HK48" s="2569"/>
      <c r="HL48" s="2569"/>
      <c r="HM48" s="2570"/>
      <c r="HN48" s="2570"/>
      <c r="HO48" s="2570"/>
      <c r="HP48" s="2570"/>
      <c r="HQ48" s="2570"/>
      <c r="HR48" s="2570"/>
      <c r="HS48" s="2570"/>
      <c r="HT48" s="2569"/>
      <c r="HU48" s="2569"/>
      <c r="HV48" s="2569"/>
      <c r="HW48" s="2569"/>
      <c r="HX48" s="2569"/>
      <c r="HY48" s="2569"/>
      <c r="HZ48" s="2569"/>
      <c r="IA48" s="2569"/>
      <c r="IB48" s="2569"/>
      <c r="IC48" s="2569"/>
      <c r="ID48" s="2569"/>
      <c r="IE48" s="2569"/>
      <c r="IF48" s="2569"/>
      <c r="IG48" s="2569"/>
      <c r="IH48" s="2569"/>
      <c r="II48" s="2569"/>
      <c r="IJ48" s="2569"/>
      <c r="IK48" s="2596"/>
      <c r="IL48" s="3212"/>
      <c r="IM48" s="3212"/>
      <c r="IN48" s="3212"/>
      <c r="IO48" s="3212"/>
      <c r="IP48" s="3212"/>
      <c r="IQ48" s="3212"/>
      <c r="IR48" s="3212"/>
      <c r="IS48" s="3212"/>
      <c r="IT48" s="3212"/>
      <c r="IU48" s="3213"/>
      <c r="IV48" s="3099"/>
      <c r="IW48" s="3099"/>
      <c r="IX48" s="3099"/>
      <c r="IY48" s="3100"/>
      <c r="IZ48" s="3101"/>
      <c r="JA48" s="3578"/>
      <c r="JC48" s="3099"/>
      <c r="JD48" s="2566"/>
      <c r="JE48" s="2566"/>
      <c r="JF48" s="2566"/>
      <c r="JG48" s="2566"/>
      <c r="JH48" s="2566"/>
      <c r="JI48" s="3076"/>
      <c r="JJ48" s="2566"/>
      <c r="JK48" s="2566"/>
      <c r="JL48" s="2566"/>
      <c r="JM48" s="2566"/>
      <c r="JN48" s="2566"/>
      <c r="JO48" s="2566"/>
      <c r="JP48" s="2566"/>
      <c r="JQ48" s="2566"/>
      <c r="JS48" s="2566"/>
      <c r="JT48" s="2566"/>
      <c r="JU48" s="2566"/>
      <c r="JV48" s="2566"/>
      <c r="JW48" s="2566"/>
      <c r="JX48" s="2566"/>
      <c r="JY48" s="2566"/>
      <c r="JZ48" s="2566"/>
      <c r="KA48" s="2566"/>
      <c r="KB48" s="2566"/>
      <c r="KC48" s="2566"/>
      <c r="KD48" s="2566"/>
      <c r="KE48" s="2566"/>
      <c r="KF48" s="2566"/>
      <c r="KG48" s="2566"/>
      <c r="KH48" s="2566"/>
      <c r="KI48" s="2566"/>
      <c r="KJ48" s="2566"/>
      <c r="KK48" s="2566"/>
      <c r="KL48" s="2566"/>
      <c r="KM48" s="2566"/>
      <c r="KN48" s="2566"/>
      <c r="KO48" s="2566"/>
    </row>
    <row r="49" spans="1:301" ht="41.4" customHeight="1" thickBot="1">
      <c r="A49" s="2566"/>
      <c r="B49" s="3294"/>
      <c r="C49" s="3611" t="s">
        <v>1488</v>
      </c>
      <c r="D49" s="5410">
        <v>2007</v>
      </c>
      <c r="E49" s="5410"/>
      <c r="F49" s="5410"/>
      <c r="G49" s="5410"/>
      <c r="H49" s="5410"/>
      <c r="I49" s="5410"/>
      <c r="J49" s="5410"/>
      <c r="K49" s="5410"/>
      <c r="L49" s="5410"/>
      <c r="M49" s="5410"/>
      <c r="N49" s="5410"/>
      <c r="O49" s="5411"/>
      <c r="P49" s="5412">
        <v>2008</v>
      </c>
      <c r="Q49" s="5413"/>
      <c r="R49" s="5413"/>
      <c r="S49" s="5413"/>
      <c r="T49" s="5413"/>
      <c r="U49" s="5413"/>
      <c r="V49" s="5413"/>
      <c r="W49" s="5413"/>
      <c r="X49" s="5413"/>
      <c r="Y49" s="5413"/>
      <c r="Z49" s="5413"/>
      <c r="AA49" s="5414"/>
      <c r="AB49" s="5415">
        <v>2009</v>
      </c>
      <c r="AC49" s="5416"/>
      <c r="AD49" s="5416"/>
      <c r="AE49" s="5416"/>
      <c r="AF49" s="5416"/>
      <c r="AG49" s="5416"/>
      <c r="AH49" s="5416"/>
      <c r="AI49" s="5416"/>
      <c r="AJ49" s="5416"/>
      <c r="AK49" s="5416"/>
      <c r="AL49" s="5416"/>
      <c r="AM49" s="5417"/>
      <c r="AN49" s="5429">
        <v>2010</v>
      </c>
      <c r="AO49" s="5430"/>
      <c r="AP49" s="5430"/>
      <c r="AQ49" s="5430"/>
      <c r="AR49" s="5430"/>
      <c r="AS49" s="5430"/>
      <c r="AT49" s="5430"/>
      <c r="AU49" s="5430"/>
      <c r="AV49" s="5430"/>
      <c r="AW49" s="5430"/>
      <c r="AX49" s="5430"/>
      <c r="AY49" s="5431"/>
      <c r="AZ49" s="5432">
        <v>2011</v>
      </c>
      <c r="BA49" s="5433"/>
      <c r="BB49" s="5433"/>
      <c r="BC49" s="5433"/>
      <c r="BD49" s="5433"/>
      <c r="BE49" s="5433"/>
      <c r="BF49" s="5433"/>
      <c r="BG49" s="5433"/>
      <c r="BH49" s="5433"/>
      <c r="BI49" s="5433"/>
      <c r="BJ49" s="5433"/>
      <c r="BK49" s="5434"/>
      <c r="BL49" s="5435">
        <v>2012</v>
      </c>
      <c r="BM49" s="5436"/>
      <c r="BN49" s="5436"/>
      <c r="BO49" s="5436"/>
      <c r="BP49" s="5436"/>
      <c r="BQ49" s="5436"/>
      <c r="BR49" s="5436"/>
      <c r="BS49" s="5436"/>
      <c r="BT49" s="5436"/>
      <c r="BU49" s="5436"/>
      <c r="BV49" s="5436"/>
      <c r="BW49" s="5437"/>
      <c r="BX49" s="5438">
        <v>2013</v>
      </c>
      <c r="BY49" s="5433"/>
      <c r="BZ49" s="5433"/>
      <c r="CA49" s="5433"/>
      <c r="CB49" s="5433"/>
      <c r="CC49" s="5433"/>
      <c r="CD49" s="5433"/>
      <c r="CE49" s="5433"/>
      <c r="CF49" s="5433"/>
      <c r="CG49" s="5433"/>
      <c r="CH49" s="5433"/>
      <c r="CI49" s="5439"/>
      <c r="CJ49" s="5440">
        <v>2014</v>
      </c>
      <c r="CK49" s="5441"/>
      <c r="CL49" s="5441"/>
      <c r="CM49" s="5441"/>
      <c r="CN49" s="5441"/>
      <c r="CO49" s="5441"/>
      <c r="CP49" s="5441"/>
      <c r="CQ49" s="5441"/>
      <c r="CR49" s="5441"/>
      <c r="CS49" s="5441"/>
      <c r="CT49" s="5441"/>
      <c r="CU49" s="5442"/>
      <c r="CV49" s="5423">
        <v>2015</v>
      </c>
      <c r="CW49" s="5424"/>
      <c r="CX49" s="5424"/>
      <c r="CY49" s="5424"/>
      <c r="CZ49" s="5424"/>
      <c r="DA49" s="5424"/>
      <c r="DB49" s="5424"/>
      <c r="DC49" s="5424"/>
      <c r="DD49" s="5424"/>
      <c r="DE49" s="5424"/>
      <c r="DF49" s="5424"/>
      <c r="DG49" s="5425"/>
      <c r="DH49" s="5426">
        <v>2016</v>
      </c>
      <c r="DI49" s="5427"/>
      <c r="DJ49" s="5427"/>
      <c r="DK49" s="5427"/>
      <c r="DL49" s="5427"/>
      <c r="DM49" s="5427"/>
      <c r="DN49" s="5427"/>
      <c r="DO49" s="5427"/>
      <c r="DP49" s="5427"/>
      <c r="DQ49" s="5427"/>
      <c r="DR49" s="5427"/>
      <c r="DS49" s="5428"/>
      <c r="DT49" s="5418">
        <v>2017</v>
      </c>
      <c r="DU49" s="5419"/>
      <c r="DV49" s="5419"/>
      <c r="DW49" s="5419"/>
      <c r="DX49" s="5419"/>
      <c r="DY49" s="5419"/>
      <c r="DZ49" s="5419"/>
      <c r="EA49" s="5419"/>
      <c r="EB49" s="5419"/>
      <c r="EC49" s="5419"/>
      <c r="ED49" s="5419"/>
      <c r="EE49" s="5420"/>
      <c r="EF49" s="5421">
        <v>2018</v>
      </c>
      <c r="EG49" s="5422"/>
      <c r="EH49" s="5422"/>
      <c r="EI49" s="5422"/>
      <c r="EJ49" s="5422"/>
      <c r="EK49" s="5422"/>
      <c r="EL49" s="5422"/>
      <c r="EM49" s="5422"/>
      <c r="EN49" s="5422"/>
      <c r="EO49" s="5422"/>
      <c r="EP49" s="5422"/>
      <c r="EQ49" s="5422"/>
      <c r="ER49" s="3295">
        <v>2019</v>
      </c>
      <c r="ES49" s="3296"/>
      <c r="ET49" s="3296"/>
      <c r="EU49" s="3296"/>
      <c r="EV49" s="3296"/>
      <c r="EW49" s="3296"/>
      <c r="EX49" s="3296"/>
      <c r="EY49" s="3296"/>
      <c r="EZ49" s="3296"/>
      <c r="FA49" s="3296"/>
      <c r="FB49" s="3296"/>
      <c r="FC49" s="3296"/>
      <c r="FD49" s="2719">
        <v>2020</v>
      </c>
      <c r="FE49" s="2720"/>
      <c r="FF49" s="2720"/>
      <c r="FG49" s="2720"/>
      <c r="FH49" s="2720"/>
      <c r="FI49" s="2720"/>
      <c r="FJ49" s="2720"/>
      <c r="FK49" s="2720"/>
      <c r="FL49" s="2720"/>
      <c r="FM49" s="2720"/>
      <c r="FN49" s="2720"/>
      <c r="FO49" s="2720"/>
      <c r="FP49" s="3609">
        <v>2021</v>
      </c>
      <c r="FQ49" s="3610"/>
      <c r="FR49" s="3610"/>
      <c r="FS49" s="3610"/>
      <c r="FT49" s="3610"/>
      <c r="FU49" s="3610"/>
      <c r="FV49" s="3610"/>
      <c r="FW49" s="3610"/>
      <c r="FX49" s="3610"/>
      <c r="FY49" s="3610"/>
      <c r="FZ49" s="3610"/>
      <c r="GA49" s="3610"/>
      <c r="GB49" s="2721"/>
      <c r="GC49" s="5393">
        <v>2007</v>
      </c>
      <c r="GD49" s="5394"/>
      <c r="GE49" s="5394"/>
      <c r="GF49" s="5395"/>
      <c r="GG49" s="5396">
        <v>2008</v>
      </c>
      <c r="GH49" s="5397"/>
      <c r="GI49" s="5397"/>
      <c r="GJ49" s="5398"/>
      <c r="GK49" s="5399">
        <v>2009</v>
      </c>
      <c r="GL49" s="5400"/>
      <c r="GM49" s="5400"/>
      <c r="GN49" s="5401"/>
      <c r="GO49" s="5376">
        <v>2010</v>
      </c>
      <c r="GP49" s="5377"/>
      <c r="GQ49" s="5377"/>
      <c r="GR49" s="5378"/>
      <c r="GS49" s="5381">
        <v>2011</v>
      </c>
      <c r="GT49" s="5382"/>
      <c r="GU49" s="5382"/>
      <c r="GV49" s="5383"/>
      <c r="GW49" s="5384">
        <v>2012</v>
      </c>
      <c r="GX49" s="5375"/>
      <c r="GY49" s="5375"/>
      <c r="GZ49" s="5375"/>
      <c r="HA49" s="5385">
        <v>2013</v>
      </c>
      <c r="HB49" s="5385"/>
      <c r="HC49" s="5385"/>
      <c r="HD49" s="5385"/>
      <c r="HE49" s="5386">
        <v>2014</v>
      </c>
      <c r="HF49" s="5386"/>
      <c r="HG49" s="5386"/>
      <c r="HH49" s="5386"/>
      <c r="HI49" s="5387">
        <v>2015</v>
      </c>
      <c r="HJ49" s="5387"/>
      <c r="HK49" s="5387"/>
      <c r="HL49" s="5387"/>
      <c r="HM49" s="5402">
        <v>2016</v>
      </c>
      <c r="HN49" s="5402"/>
      <c r="HO49" s="5402"/>
      <c r="HP49" s="5402"/>
      <c r="HQ49" s="5375">
        <v>2017</v>
      </c>
      <c r="HR49" s="5375"/>
      <c r="HS49" s="5375"/>
      <c r="HT49" s="5375"/>
      <c r="HU49" s="5391">
        <v>2018</v>
      </c>
      <c r="HV49" s="5392"/>
      <c r="HW49" s="5392"/>
      <c r="HX49" s="5392"/>
      <c r="HY49" s="5403">
        <v>2019</v>
      </c>
      <c r="HZ49" s="5404"/>
      <c r="IA49" s="5404"/>
      <c r="IB49" s="5404"/>
      <c r="IC49" s="2719">
        <v>2020</v>
      </c>
      <c r="ID49" s="2720"/>
      <c r="IE49" s="2720"/>
      <c r="IF49" s="2722"/>
      <c r="IG49" s="3609">
        <v>2021</v>
      </c>
      <c r="IH49" s="3610"/>
      <c r="II49" s="3610"/>
      <c r="IJ49" s="3610"/>
      <c r="IK49" s="2577"/>
      <c r="IL49" s="3297">
        <v>2007</v>
      </c>
      <c r="IM49" s="3298">
        <v>2008</v>
      </c>
      <c r="IN49" s="3298">
        <v>2009</v>
      </c>
      <c r="IO49" s="3298">
        <v>2010</v>
      </c>
      <c r="IP49" s="3298">
        <v>2011</v>
      </c>
      <c r="IQ49" s="3298">
        <v>2012</v>
      </c>
      <c r="IR49" s="3298">
        <v>2013</v>
      </c>
      <c r="IS49" s="3298">
        <v>2014</v>
      </c>
      <c r="IT49" s="3298">
        <v>2015</v>
      </c>
      <c r="IU49" s="3298">
        <v>2016</v>
      </c>
      <c r="IV49" s="3298">
        <v>2017</v>
      </c>
      <c r="IW49" s="3299">
        <v>2018</v>
      </c>
      <c r="IX49" s="3300">
        <v>2019</v>
      </c>
      <c r="IY49" s="3301">
        <v>2020</v>
      </c>
      <c r="IZ49" s="3302" t="s">
        <v>1419</v>
      </c>
      <c r="JA49" s="3582">
        <v>2021</v>
      </c>
      <c r="JC49" s="5388" t="s">
        <v>1481</v>
      </c>
      <c r="JD49" s="5380" t="s">
        <v>820</v>
      </c>
      <c r="JE49" s="5379" t="s">
        <v>588</v>
      </c>
      <c r="JF49" s="5379" t="s">
        <v>873</v>
      </c>
      <c r="JG49" s="5379" t="s">
        <v>1473</v>
      </c>
      <c r="JH49" s="5379" t="s">
        <v>1475</v>
      </c>
      <c r="JI49" s="5474" t="s">
        <v>1474</v>
      </c>
      <c r="JJ49" s="709"/>
      <c r="JK49" s="5374" t="s">
        <v>599</v>
      </c>
      <c r="JL49" s="5373" t="s">
        <v>867</v>
      </c>
      <c r="JM49" s="5373" t="s">
        <v>871</v>
      </c>
      <c r="JN49" s="5373" t="s">
        <v>872</v>
      </c>
      <c r="JO49" s="5373" t="s">
        <v>1476</v>
      </c>
      <c r="JP49" s="5472" t="s">
        <v>1483</v>
      </c>
      <c r="JQ49" s="5473" t="s">
        <v>1477</v>
      </c>
      <c r="JS49" s="3294"/>
      <c r="JT49" s="3294"/>
      <c r="JU49" s="3294"/>
      <c r="JV49" s="3294"/>
      <c r="JW49" s="3294"/>
      <c r="JX49" s="3294"/>
      <c r="JY49" s="3294"/>
      <c r="JZ49" s="3294"/>
      <c r="KA49" s="3294"/>
      <c r="KB49" s="3294"/>
      <c r="KC49" s="3294"/>
      <c r="KD49" s="3294"/>
      <c r="KE49" s="3294"/>
      <c r="KF49" s="3294"/>
      <c r="KG49" s="3294"/>
      <c r="KH49" s="3294"/>
      <c r="KI49" s="3294"/>
      <c r="KJ49" s="3294"/>
      <c r="KK49" s="3294"/>
      <c r="KL49" s="3294"/>
      <c r="KM49" s="3294"/>
      <c r="KN49" s="3294"/>
      <c r="KO49" s="3294"/>
    </row>
    <row r="50" spans="1:301" ht="4.5" customHeight="1">
      <c r="A50" s="2566"/>
      <c r="B50" s="3294"/>
      <c r="C50" s="3611"/>
      <c r="D50" s="3303"/>
      <c r="E50" s="3303"/>
      <c r="F50" s="3303"/>
      <c r="G50" s="3303"/>
      <c r="H50" s="3303"/>
      <c r="I50" s="3303"/>
      <c r="J50" s="3303"/>
      <c r="K50" s="3303"/>
      <c r="L50" s="3303"/>
      <c r="M50" s="3303"/>
      <c r="N50" s="3303"/>
      <c r="O50" s="3304"/>
      <c r="P50" s="3305"/>
      <c r="Q50" s="3303"/>
      <c r="R50" s="3303"/>
      <c r="S50" s="3303"/>
      <c r="T50" s="3303"/>
      <c r="U50" s="3303"/>
      <c r="V50" s="3303"/>
      <c r="W50" s="3303"/>
      <c r="X50" s="3303"/>
      <c r="Y50" s="3303"/>
      <c r="Z50" s="3303"/>
      <c r="AA50" s="3304"/>
      <c r="AB50" s="3305"/>
      <c r="AC50" s="3303"/>
      <c r="AD50" s="3303"/>
      <c r="AE50" s="3303"/>
      <c r="AF50" s="3303"/>
      <c r="AG50" s="3303"/>
      <c r="AH50" s="3303"/>
      <c r="AI50" s="3303"/>
      <c r="AJ50" s="3303"/>
      <c r="AK50" s="3303"/>
      <c r="AL50" s="3303"/>
      <c r="AM50" s="3304"/>
      <c r="AN50" s="3305"/>
      <c r="AO50" s="3303"/>
      <c r="AP50" s="3303"/>
      <c r="AQ50" s="3303"/>
      <c r="AR50" s="3303"/>
      <c r="AS50" s="3303"/>
      <c r="AT50" s="3303"/>
      <c r="AU50" s="3303"/>
      <c r="AV50" s="3303"/>
      <c r="AW50" s="3303"/>
      <c r="AX50" s="3303"/>
      <c r="AY50" s="3304"/>
      <c r="AZ50" s="3303"/>
      <c r="BA50" s="3303"/>
      <c r="BB50" s="3303"/>
      <c r="BC50" s="3303"/>
      <c r="BD50" s="3303"/>
      <c r="BE50" s="3303"/>
      <c r="BF50" s="3303"/>
      <c r="BG50" s="3303"/>
      <c r="BH50" s="3303"/>
      <c r="BI50" s="3303"/>
      <c r="BJ50" s="3303"/>
      <c r="BK50" s="3306"/>
      <c r="BL50" s="3307"/>
      <c r="BM50" s="3308"/>
      <c r="BN50" s="3308"/>
      <c r="BO50" s="3308"/>
      <c r="BP50" s="3308"/>
      <c r="BQ50" s="3308"/>
      <c r="BR50" s="3308"/>
      <c r="BS50" s="3308"/>
      <c r="BT50" s="3308"/>
      <c r="BU50" s="3308"/>
      <c r="BV50" s="3308"/>
      <c r="BW50" s="3309"/>
      <c r="BX50" s="3307"/>
      <c r="BY50" s="3308"/>
      <c r="BZ50" s="3308"/>
      <c r="CA50" s="3308"/>
      <c r="CB50" s="3308"/>
      <c r="CC50" s="3308"/>
      <c r="CD50" s="3308"/>
      <c r="CE50" s="3308"/>
      <c r="CF50" s="3308"/>
      <c r="CG50" s="3308"/>
      <c r="CH50" s="3308"/>
      <c r="CI50" s="3308"/>
      <c r="CJ50" s="3310"/>
      <c r="CK50" s="3311"/>
      <c r="CL50" s="3311"/>
      <c r="CM50" s="3311"/>
      <c r="CN50" s="3311"/>
      <c r="CO50" s="3311"/>
      <c r="CP50" s="3311"/>
      <c r="CQ50" s="3311"/>
      <c r="CR50" s="3311"/>
      <c r="CS50" s="3311"/>
      <c r="CT50" s="3311"/>
      <c r="CU50" s="3312"/>
      <c r="CV50" s="3313"/>
      <c r="CW50" s="3314"/>
      <c r="CX50" s="3314"/>
      <c r="CY50" s="3314"/>
      <c r="CZ50" s="3314"/>
      <c r="DA50" s="3314"/>
      <c r="DB50" s="3314"/>
      <c r="DC50" s="3314"/>
      <c r="DD50" s="3314"/>
      <c r="DE50" s="3314"/>
      <c r="DF50" s="3314"/>
      <c r="DG50" s="3315"/>
      <c r="DH50" s="3316"/>
      <c r="DI50" s="3317"/>
      <c r="DJ50" s="3317"/>
      <c r="DK50" s="3317"/>
      <c r="DL50" s="3317"/>
      <c r="DM50" s="3317"/>
      <c r="DN50" s="3317"/>
      <c r="DO50" s="3317"/>
      <c r="DP50" s="3317"/>
      <c r="DQ50" s="3317"/>
      <c r="DR50" s="3317"/>
      <c r="DS50" s="3318"/>
      <c r="DT50" s="3319"/>
      <c r="DU50" s="3320"/>
      <c r="DV50" s="3320"/>
      <c r="DW50" s="3320"/>
      <c r="DX50" s="3320"/>
      <c r="DY50" s="3320"/>
      <c r="DZ50" s="3320"/>
      <c r="EA50" s="3320"/>
      <c r="EB50" s="3320"/>
      <c r="EC50" s="3320"/>
      <c r="ED50" s="3320"/>
      <c r="EE50" s="3320"/>
      <c r="EF50" s="3321"/>
      <c r="EG50" s="3322"/>
      <c r="EH50" s="3322"/>
      <c r="EI50" s="3322"/>
      <c r="EJ50" s="3322"/>
      <c r="EK50" s="3322"/>
      <c r="EL50" s="3322"/>
      <c r="EM50" s="3322"/>
      <c r="EN50" s="3322"/>
      <c r="EO50" s="3308"/>
      <c r="EP50" s="3322"/>
      <c r="EQ50" s="3322"/>
      <c r="ER50" s="3321"/>
      <c r="ES50" s="3322"/>
      <c r="ET50" s="3322"/>
      <c r="EU50" s="3322"/>
      <c r="EV50" s="3322"/>
      <c r="EW50" s="3322"/>
      <c r="EX50" s="3322"/>
      <c r="EY50" s="3322"/>
      <c r="EZ50" s="3322"/>
      <c r="FA50" s="3322"/>
      <c r="FB50" s="3322"/>
      <c r="FC50" s="3322"/>
      <c r="FD50" s="2723"/>
      <c r="FE50" s="2724"/>
      <c r="FF50" s="2724"/>
      <c r="FG50" s="2724"/>
      <c r="FH50" s="2724"/>
      <c r="FI50" s="2724"/>
      <c r="FJ50" s="2724"/>
      <c r="FK50" s="2724"/>
      <c r="FL50" s="2724"/>
      <c r="FM50" s="2724"/>
      <c r="FN50" s="2724"/>
      <c r="FO50" s="2724"/>
      <c r="FP50" s="2725"/>
      <c r="FQ50" s="3602"/>
      <c r="FR50" s="3602"/>
      <c r="FS50" s="3602"/>
      <c r="FT50" s="3602"/>
      <c r="FU50" s="3602"/>
      <c r="FV50" s="3602"/>
      <c r="FW50" s="3602"/>
      <c r="FX50" s="3602"/>
      <c r="FY50" s="3602"/>
      <c r="FZ50" s="3602"/>
      <c r="GA50" s="3602"/>
      <c r="GB50" s="2721"/>
      <c r="GC50" s="1188"/>
      <c r="GD50" s="1188"/>
      <c r="GE50" s="1188"/>
      <c r="GF50" s="1188"/>
      <c r="GG50" s="1188"/>
      <c r="GH50" s="1188"/>
      <c r="GI50" s="1188"/>
      <c r="GJ50" s="1188"/>
      <c r="GK50" s="1188"/>
      <c r="GL50" s="1188"/>
      <c r="GM50" s="1188"/>
      <c r="GN50" s="1188"/>
      <c r="GO50" s="1188"/>
      <c r="GP50" s="1188"/>
      <c r="GQ50" s="1188"/>
      <c r="GR50" s="1188"/>
      <c r="GS50" s="2726"/>
      <c r="GT50" s="2726"/>
      <c r="GU50" s="2726"/>
      <c r="GV50" s="2726"/>
      <c r="GW50" s="2727"/>
      <c r="GX50" s="2727"/>
      <c r="GY50" s="2727"/>
      <c r="GZ50" s="2727"/>
      <c r="HA50" s="2728"/>
      <c r="HB50" s="2728"/>
      <c r="HC50" s="2728"/>
      <c r="HD50" s="2728"/>
      <c r="HE50" s="2729"/>
      <c r="HF50" s="2729"/>
      <c r="HG50" s="2729"/>
      <c r="HH50" s="2729"/>
      <c r="HI50" s="2730"/>
      <c r="HJ50" s="2730"/>
      <c r="HK50" s="2730"/>
      <c r="HL50" s="2730"/>
      <c r="HM50" s="2731"/>
      <c r="HN50" s="2731"/>
      <c r="HO50" s="2731"/>
      <c r="HP50" s="2731"/>
      <c r="HQ50" s="2732"/>
      <c r="HR50" s="2732"/>
      <c r="HS50" s="2732"/>
      <c r="HT50" s="2732"/>
      <c r="HU50" s="2733"/>
      <c r="HV50" s="2728"/>
      <c r="HW50" s="2728"/>
      <c r="HX50" s="2728"/>
      <c r="HY50" s="2733"/>
      <c r="HZ50" s="2728"/>
      <c r="IA50" s="2728"/>
      <c r="IB50" s="2728"/>
      <c r="IC50" s="2723"/>
      <c r="ID50" s="2724"/>
      <c r="IE50" s="2724"/>
      <c r="IF50" s="2734"/>
      <c r="IG50" s="2725"/>
      <c r="IH50" s="3602"/>
      <c r="II50" s="3602"/>
      <c r="IJ50" s="3602"/>
      <c r="IK50" s="2735"/>
      <c r="IL50" s="3323"/>
      <c r="IM50" s="3324"/>
      <c r="IN50" s="3324"/>
      <c r="IO50" s="3324"/>
      <c r="IP50" s="3324"/>
      <c r="IQ50" s="3324"/>
      <c r="IR50" s="3324"/>
      <c r="IS50" s="3324"/>
      <c r="IT50" s="3324"/>
      <c r="IU50" s="3324"/>
      <c r="IV50" s="3324"/>
      <c r="IW50" s="3324"/>
      <c r="IX50" s="3324"/>
      <c r="IY50" s="3325"/>
      <c r="IZ50" s="3326"/>
      <c r="JA50" s="3578"/>
      <c r="JC50" s="5389"/>
      <c r="JD50" s="5380"/>
      <c r="JE50" s="5379"/>
      <c r="JF50" s="5379"/>
      <c r="JG50" s="5379"/>
      <c r="JH50" s="5379"/>
      <c r="JI50" s="5474"/>
      <c r="JJ50" s="709"/>
      <c r="JK50" s="5374"/>
      <c r="JL50" s="5373"/>
      <c r="JM50" s="5373"/>
      <c r="JN50" s="5373"/>
      <c r="JO50" s="5373"/>
      <c r="JP50" s="5472"/>
      <c r="JQ50" s="5473"/>
      <c r="JS50" s="3294"/>
      <c r="JT50" s="3294"/>
      <c r="JU50" s="3294"/>
      <c r="JV50" s="3294"/>
      <c r="JW50" s="3294"/>
      <c r="JX50" s="3294"/>
      <c r="JY50" s="3294"/>
      <c r="JZ50" s="3294"/>
      <c r="KA50" s="3294"/>
      <c r="KB50" s="3294"/>
      <c r="KC50" s="3294"/>
      <c r="KD50" s="3294"/>
      <c r="KE50" s="3294"/>
      <c r="KF50" s="3294"/>
      <c r="KG50" s="3294"/>
      <c r="KH50" s="3294"/>
      <c r="KI50" s="3294"/>
      <c r="KJ50" s="3294"/>
      <c r="KK50" s="3294"/>
      <c r="KL50" s="3294"/>
      <c r="KM50" s="3294"/>
      <c r="KN50" s="3294"/>
      <c r="KO50" s="3294"/>
    </row>
    <row r="51" spans="1:301" ht="15" thickBot="1">
      <c r="A51" s="2566"/>
      <c r="B51" s="3294"/>
      <c r="C51" s="3612" t="s">
        <v>1557</v>
      </c>
      <c r="D51" s="3327" t="s">
        <v>36</v>
      </c>
      <c r="E51" s="2534" t="s">
        <v>37</v>
      </c>
      <c r="F51" s="2534" t="s">
        <v>38</v>
      </c>
      <c r="G51" s="2534" t="s">
        <v>39</v>
      </c>
      <c r="H51" s="2534" t="s">
        <v>40</v>
      </c>
      <c r="I51" s="2534" t="s">
        <v>41</v>
      </c>
      <c r="J51" s="2534" t="s">
        <v>42</v>
      </c>
      <c r="K51" s="2534" t="s">
        <v>43</v>
      </c>
      <c r="L51" s="2534" t="s">
        <v>44</v>
      </c>
      <c r="M51" s="2534" t="s">
        <v>45</v>
      </c>
      <c r="N51" s="2534" t="s">
        <v>46</v>
      </c>
      <c r="O51" s="2535" t="s">
        <v>47</v>
      </c>
      <c r="P51" s="2533" t="s">
        <v>36</v>
      </c>
      <c r="Q51" s="2534" t="s">
        <v>37</v>
      </c>
      <c r="R51" s="2534" t="s">
        <v>38</v>
      </c>
      <c r="S51" s="2534" t="s">
        <v>39</v>
      </c>
      <c r="T51" s="2534" t="s">
        <v>40</v>
      </c>
      <c r="U51" s="2534" t="s">
        <v>41</v>
      </c>
      <c r="V51" s="2534" t="s">
        <v>42</v>
      </c>
      <c r="W51" s="2534" t="s">
        <v>43</v>
      </c>
      <c r="X51" s="2534" t="s">
        <v>44</v>
      </c>
      <c r="Y51" s="2534" t="s">
        <v>45</v>
      </c>
      <c r="Z51" s="2534" t="s">
        <v>46</v>
      </c>
      <c r="AA51" s="2535" t="s">
        <v>47</v>
      </c>
      <c r="AB51" s="2536" t="s">
        <v>36</v>
      </c>
      <c r="AC51" s="2537" t="s">
        <v>37</v>
      </c>
      <c r="AD51" s="2537" t="s">
        <v>38</v>
      </c>
      <c r="AE51" s="2537" t="s">
        <v>39</v>
      </c>
      <c r="AF51" s="2537" t="s">
        <v>40</v>
      </c>
      <c r="AG51" s="2537" t="s">
        <v>41</v>
      </c>
      <c r="AH51" s="2537" t="s">
        <v>42</v>
      </c>
      <c r="AI51" s="2537" t="s">
        <v>43</v>
      </c>
      <c r="AJ51" s="2537" t="s">
        <v>44</v>
      </c>
      <c r="AK51" s="2537" t="s">
        <v>45</v>
      </c>
      <c r="AL51" s="2537" t="s">
        <v>46</v>
      </c>
      <c r="AM51" s="2538" t="s">
        <v>47</v>
      </c>
      <c r="AN51" s="2536" t="s">
        <v>36</v>
      </c>
      <c r="AO51" s="2537" t="s">
        <v>37</v>
      </c>
      <c r="AP51" s="2537" t="s">
        <v>38</v>
      </c>
      <c r="AQ51" s="2537" t="s">
        <v>39</v>
      </c>
      <c r="AR51" s="2537" t="s">
        <v>40</v>
      </c>
      <c r="AS51" s="2537" t="s">
        <v>41</v>
      </c>
      <c r="AT51" s="2537" t="s">
        <v>42</v>
      </c>
      <c r="AU51" s="2537" t="s">
        <v>43</v>
      </c>
      <c r="AV51" s="2537" t="s">
        <v>44</v>
      </c>
      <c r="AW51" s="2537" t="s">
        <v>45</v>
      </c>
      <c r="AX51" s="2537" t="s">
        <v>46</v>
      </c>
      <c r="AY51" s="2538" t="s">
        <v>47</v>
      </c>
      <c r="AZ51" s="2539" t="s">
        <v>36</v>
      </c>
      <c r="BA51" s="2539" t="s">
        <v>37</v>
      </c>
      <c r="BB51" s="2539" t="s">
        <v>38</v>
      </c>
      <c r="BC51" s="2539" t="s">
        <v>39</v>
      </c>
      <c r="BD51" s="2539" t="s">
        <v>40</v>
      </c>
      <c r="BE51" s="2539" t="s">
        <v>41</v>
      </c>
      <c r="BF51" s="2539" t="s">
        <v>42</v>
      </c>
      <c r="BG51" s="2539" t="s">
        <v>43</v>
      </c>
      <c r="BH51" s="2539" t="s">
        <v>44</v>
      </c>
      <c r="BI51" s="2539" t="s">
        <v>45</v>
      </c>
      <c r="BJ51" s="2539" t="s">
        <v>46</v>
      </c>
      <c r="BK51" s="2540" t="s">
        <v>47</v>
      </c>
      <c r="BL51" s="2541" t="s">
        <v>36</v>
      </c>
      <c r="BM51" s="2542" t="s">
        <v>37</v>
      </c>
      <c r="BN51" s="2542" t="s">
        <v>38</v>
      </c>
      <c r="BO51" s="2542" t="s">
        <v>39</v>
      </c>
      <c r="BP51" s="2542" t="s">
        <v>40</v>
      </c>
      <c r="BQ51" s="2542" t="s">
        <v>41</v>
      </c>
      <c r="BR51" s="2542" t="s">
        <v>42</v>
      </c>
      <c r="BS51" s="2542" t="s">
        <v>43</v>
      </c>
      <c r="BT51" s="2543" t="s">
        <v>44</v>
      </c>
      <c r="BU51" s="2543" t="s">
        <v>45</v>
      </c>
      <c r="BV51" s="2543" t="s">
        <v>46</v>
      </c>
      <c r="BW51" s="2544" t="s">
        <v>47</v>
      </c>
      <c r="BX51" s="2545" t="s">
        <v>36</v>
      </c>
      <c r="BY51" s="2539" t="s">
        <v>37</v>
      </c>
      <c r="BZ51" s="2539" t="s">
        <v>38</v>
      </c>
      <c r="CA51" s="2539" t="s">
        <v>39</v>
      </c>
      <c r="CB51" s="2539" t="s">
        <v>40</v>
      </c>
      <c r="CC51" s="2539" t="s">
        <v>41</v>
      </c>
      <c r="CD51" s="2539" t="s">
        <v>42</v>
      </c>
      <c r="CE51" s="2539" t="s">
        <v>43</v>
      </c>
      <c r="CF51" s="2539" t="s">
        <v>44</v>
      </c>
      <c r="CG51" s="2539" t="s">
        <v>45</v>
      </c>
      <c r="CH51" s="2539" t="s">
        <v>46</v>
      </c>
      <c r="CI51" s="2539" t="s">
        <v>47</v>
      </c>
      <c r="CJ51" s="2536" t="s">
        <v>36</v>
      </c>
      <c r="CK51" s="2537" t="s">
        <v>37</v>
      </c>
      <c r="CL51" s="2537" t="s">
        <v>38</v>
      </c>
      <c r="CM51" s="2537" t="s">
        <v>39</v>
      </c>
      <c r="CN51" s="2537" t="s">
        <v>40</v>
      </c>
      <c r="CO51" s="2537" t="s">
        <v>41</v>
      </c>
      <c r="CP51" s="2537" t="s">
        <v>42</v>
      </c>
      <c r="CQ51" s="2537" t="s">
        <v>43</v>
      </c>
      <c r="CR51" s="2537" t="s">
        <v>44</v>
      </c>
      <c r="CS51" s="2537" t="s">
        <v>45</v>
      </c>
      <c r="CT51" s="2537" t="s">
        <v>46</v>
      </c>
      <c r="CU51" s="2538" t="s">
        <v>47</v>
      </c>
      <c r="CV51" s="2546" t="s">
        <v>36</v>
      </c>
      <c r="CW51" s="2539" t="s">
        <v>37</v>
      </c>
      <c r="CX51" s="2539" t="s">
        <v>38</v>
      </c>
      <c r="CY51" s="2539" t="s">
        <v>39</v>
      </c>
      <c r="CZ51" s="2539" t="s">
        <v>40</v>
      </c>
      <c r="DA51" s="2539" t="s">
        <v>41</v>
      </c>
      <c r="DB51" s="2539" t="s">
        <v>42</v>
      </c>
      <c r="DC51" s="2539" t="s">
        <v>43</v>
      </c>
      <c r="DD51" s="2539" t="s">
        <v>44</v>
      </c>
      <c r="DE51" s="2539" t="s">
        <v>45</v>
      </c>
      <c r="DF51" s="2539">
        <f>+DF8</f>
        <v>0</v>
      </c>
      <c r="DG51" s="2547" t="s">
        <v>47</v>
      </c>
      <c r="DH51" s="2546" t="s">
        <v>36</v>
      </c>
      <c r="DI51" s="2539" t="s">
        <v>37</v>
      </c>
      <c r="DJ51" s="2539" t="s">
        <v>38</v>
      </c>
      <c r="DK51" s="2539" t="s">
        <v>39</v>
      </c>
      <c r="DL51" s="2539" t="s">
        <v>40</v>
      </c>
      <c r="DM51" s="2539" t="s">
        <v>41</v>
      </c>
      <c r="DN51" s="2539" t="s">
        <v>42</v>
      </c>
      <c r="DO51" s="2539" t="s">
        <v>43</v>
      </c>
      <c r="DP51" s="2548" t="s">
        <v>183</v>
      </c>
      <c r="DQ51" s="2539" t="s">
        <v>45</v>
      </c>
      <c r="DR51" s="2539" t="s">
        <v>46</v>
      </c>
      <c r="DS51" s="2547" t="s">
        <v>47</v>
      </c>
      <c r="DT51" s="2546" t="s">
        <v>36</v>
      </c>
      <c r="DU51" s="2539" t="s">
        <v>37</v>
      </c>
      <c r="DV51" s="2539" t="s">
        <v>38</v>
      </c>
      <c r="DW51" s="2539" t="s">
        <v>39</v>
      </c>
      <c r="DX51" s="2539" t="s">
        <v>40</v>
      </c>
      <c r="DY51" s="2539" t="s">
        <v>41</v>
      </c>
      <c r="DZ51" s="2539" t="s">
        <v>42</v>
      </c>
      <c r="EA51" s="2539" t="s">
        <v>43</v>
      </c>
      <c r="EB51" s="2539" t="s">
        <v>183</v>
      </c>
      <c r="EC51" s="2539" t="s">
        <v>45</v>
      </c>
      <c r="ED51" s="2539" t="s">
        <v>46</v>
      </c>
      <c r="EE51" s="2539" t="s">
        <v>47</v>
      </c>
      <c r="EF51" s="2549" t="s">
        <v>36</v>
      </c>
      <c r="EG51" s="2539" t="s">
        <v>37</v>
      </c>
      <c r="EH51" s="2539" t="s">
        <v>38</v>
      </c>
      <c r="EI51" s="2539" t="s">
        <v>39</v>
      </c>
      <c r="EJ51" s="2539" t="s">
        <v>40</v>
      </c>
      <c r="EK51" s="2539" t="s">
        <v>41</v>
      </c>
      <c r="EL51" s="2539" t="s">
        <v>42</v>
      </c>
      <c r="EM51" s="2539" t="s">
        <v>43</v>
      </c>
      <c r="EN51" s="2539" t="s">
        <v>183</v>
      </c>
      <c r="EO51" s="2550" t="s">
        <v>45</v>
      </c>
      <c r="EP51" s="2550" t="s">
        <v>46</v>
      </c>
      <c r="EQ51" s="2539" t="s">
        <v>47</v>
      </c>
      <c r="ER51" s="2549" t="s">
        <v>36</v>
      </c>
      <c r="ES51" s="2539" t="s">
        <v>37</v>
      </c>
      <c r="ET51" s="2539" t="s">
        <v>38</v>
      </c>
      <c r="EU51" s="2539" t="s">
        <v>39</v>
      </c>
      <c r="EV51" s="2539" t="s">
        <v>40</v>
      </c>
      <c r="EW51" s="2539" t="s">
        <v>41</v>
      </c>
      <c r="EX51" s="2539" t="s">
        <v>42</v>
      </c>
      <c r="EY51" s="2539" t="s">
        <v>43</v>
      </c>
      <c r="EZ51" s="2539" t="s">
        <v>183</v>
      </c>
      <c r="FA51" s="2539" t="s">
        <v>45</v>
      </c>
      <c r="FB51" s="2550" t="s">
        <v>46</v>
      </c>
      <c r="FC51" s="2550" t="s">
        <v>47</v>
      </c>
      <c r="FD51" s="2736" t="s">
        <v>36</v>
      </c>
      <c r="FE51" s="2737" t="s">
        <v>37</v>
      </c>
      <c r="FF51" s="2737" t="s">
        <v>38</v>
      </c>
      <c r="FG51" s="2737" t="s">
        <v>39</v>
      </c>
      <c r="FH51" s="2737" t="s">
        <v>40</v>
      </c>
      <c r="FI51" s="2737" t="s">
        <v>41</v>
      </c>
      <c r="FJ51" s="2737" t="s">
        <v>42</v>
      </c>
      <c r="FK51" s="2737" t="s">
        <v>43</v>
      </c>
      <c r="FL51" s="2737" t="s">
        <v>183</v>
      </c>
      <c r="FM51" s="2737" t="s">
        <v>45</v>
      </c>
      <c r="FN51" s="2738" t="s">
        <v>46</v>
      </c>
      <c r="FO51" s="2738" t="s">
        <v>47</v>
      </c>
      <c r="FP51" s="2736" t="s">
        <v>36</v>
      </c>
      <c r="FQ51" s="2737" t="s">
        <v>37</v>
      </c>
      <c r="FR51" s="2737" t="s">
        <v>38</v>
      </c>
      <c r="FS51" s="1239" t="s">
        <v>39</v>
      </c>
      <c r="FT51" s="1239" t="s">
        <v>40</v>
      </c>
      <c r="FU51" s="1239" t="s">
        <v>41</v>
      </c>
      <c r="FV51" s="1239" t="s">
        <v>42</v>
      </c>
      <c r="FW51" s="1239" t="s">
        <v>43</v>
      </c>
      <c r="FX51" s="1239" t="s">
        <v>183</v>
      </c>
      <c r="FY51" s="1239" t="s">
        <v>45</v>
      </c>
      <c r="FZ51" s="1188" t="s">
        <v>46</v>
      </c>
      <c r="GA51" s="1188" t="s">
        <v>47</v>
      </c>
      <c r="GB51" s="2721"/>
      <c r="GC51" s="2739" t="s">
        <v>167</v>
      </c>
      <c r="GD51" s="2740" t="s">
        <v>453</v>
      </c>
      <c r="GE51" s="2740" t="s">
        <v>454</v>
      </c>
      <c r="GF51" s="2741" t="s">
        <v>455</v>
      </c>
      <c r="GG51" s="2739" t="s">
        <v>167</v>
      </c>
      <c r="GH51" s="2740" t="s">
        <v>453</v>
      </c>
      <c r="GI51" s="2740" t="s">
        <v>454</v>
      </c>
      <c r="GJ51" s="2741" t="s">
        <v>455</v>
      </c>
      <c r="GK51" s="2742" t="s">
        <v>167</v>
      </c>
      <c r="GL51" s="2743" t="s">
        <v>453</v>
      </c>
      <c r="GM51" s="2743" t="s">
        <v>456</v>
      </c>
      <c r="GN51" s="2743" t="s">
        <v>457</v>
      </c>
      <c r="GO51" s="2744" t="s">
        <v>167</v>
      </c>
      <c r="GP51" s="2745" t="s">
        <v>458</v>
      </c>
      <c r="GQ51" s="2745" t="s">
        <v>459</v>
      </c>
      <c r="GR51" s="2746" t="s">
        <v>455</v>
      </c>
      <c r="GS51" s="2747" t="s">
        <v>167</v>
      </c>
      <c r="GT51" s="2748" t="s">
        <v>453</v>
      </c>
      <c r="GU51" s="2748" t="s">
        <v>456</v>
      </c>
      <c r="GV51" s="2749" t="s">
        <v>457</v>
      </c>
      <c r="GW51" s="2625" t="s">
        <v>167</v>
      </c>
      <c r="GX51" s="2625" t="s">
        <v>453</v>
      </c>
      <c r="GY51" s="2625" t="s">
        <v>456</v>
      </c>
      <c r="GZ51" s="2625" t="s">
        <v>457</v>
      </c>
      <c r="HA51" s="2625" t="s">
        <v>167</v>
      </c>
      <c r="HB51" s="2625" t="s">
        <v>453</v>
      </c>
      <c r="HC51" s="2625" t="s">
        <v>456</v>
      </c>
      <c r="HD51" s="2625" t="s">
        <v>457</v>
      </c>
      <c r="HE51" s="2625" t="s">
        <v>167</v>
      </c>
      <c r="HF51" s="2625" t="s">
        <v>453</v>
      </c>
      <c r="HG51" s="2625" t="s">
        <v>456</v>
      </c>
      <c r="HH51" s="2625" t="s">
        <v>457</v>
      </c>
      <c r="HI51" s="2625" t="s">
        <v>167</v>
      </c>
      <c r="HJ51" s="2625" t="s">
        <v>168</v>
      </c>
      <c r="HK51" s="2625" t="s">
        <v>456</v>
      </c>
      <c r="HL51" s="2625" t="s">
        <v>457</v>
      </c>
      <c r="HM51" s="2625" t="s">
        <v>167</v>
      </c>
      <c r="HN51" s="2625" t="s">
        <v>453</v>
      </c>
      <c r="HO51" s="2625" t="s">
        <v>456</v>
      </c>
      <c r="HP51" s="2625" t="s">
        <v>457</v>
      </c>
      <c r="HQ51" s="2625" t="s">
        <v>167</v>
      </c>
      <c r="HR51" s="2625" t="s">
        <v>453</v>
      </c>
      <c r="HS51" s="2625" t="s">
        <v>456</v>
      </c>
      <c r="HT51" s="2625" t="s">
        <v>457</v>
      </c>
      <c r="HU51" s="2750" t="s">
        <v>167</v>
      </c>
      <c r="HV51" s="2625" t="s">
        <v>453</v>
      </c>
      <c r="HW51" s="2625" t="s">
        <v>456</v>
      </c>
      <c r="HX51" s="2625" t="s">
        <v>457</v>
      </c>
      <c r="HY51" s="2750" t="s">
        <v>167</v>
      </c>
      <c r="HZ51" s="2625" t="s">
        <v>453</v>
      </c>
      <c r="IA51" s="2625" t="s">
        <v>456</v>
      </c>
      <c r="IB51" s="2625" t="s">
        <v>457</v>
      </c>
      <c r="IC51" s="2751" t="s">
        <v>167</v>
      </c>
      <c r="ID51" s="2752" t="s">
        <v>453</v>
      </c>
      <c r="IE51" s="2752" t="s">
        <v>456</v>
      </c>
      <c r="IF51" s="2753" t="s">
        <v>457</v>
      </c>
      <c r="IG51" s="2750" t="s">
        <v>167</v>
      </c>
      <c r="IH51" s="2625" t="s">
        <v>453</v>
      </c>
      <c r="II51" s="2625" t="s">
        <v>456</v>
      </c>
      <c r="IJ51" s="2625" t="s">
        <v>457</v>
      </c>
      <c r="IK51" s="2577"/>
      <c r="IL51" s="2551" t="s">
        <v>48</v>
      </c>
      <c r="IM51" s="2551" t="s">
        <v>48</v>
      </c>
      <c r="IN51" s="2551" t="s">
        <v>48</v>
      </c>
      <c r="IO51" s="2551" t="s">
        <v>48</v>
      </c>
      <c r="IP51" s="2551" t="s">
        <v>48</v>
      </c>
      <c r="IQ51" s="2551" t="s">
        <v>48</v>
      </c>
      <c r="IR51" s="2551" t="s">
        <v>48</v>
      </c>
      <c r="IS51" s="2551" t="s">
        <v>48</v>
      </c>
      <c r="IT51" s="2551" t="s">
        <v>48</v>
      </c>
      <c r="IU51" s="2551" t="s">
        <v>48</v>
      </c>
      <c r="IV51" s="2551" t="s">
        <v>48</v>
      </c>
      <c r="IW51" s="2552" t="s">
        <v>48</v>
      </c>
      <c r="IX51" s="2553" t="s">
        <v>48</v>
      </c>
      <c r="IY51" s="2554" t="s">
        <v>1472</v>
      </c>
      <c r="IZ51" s="2555" t="s">
        <v>866</v>
      </c>
      <c r="JA51" s="3578"/>
      <c r="JC51" s="5390"/>
      <c r="JD51" s="5380"/>
      <c r="JE51" s="5379"/>
      <c r="JF51" s="5379"/>
      <c r="JG51" s="5379"/>
      <c r="JH51" s="5379"/>
      <c r="JI51" s="5474"/>
      <c r="JJ51" s="709"/>
      <c r="JK51" s="5374"/>
      <c r="JL51" s="5373"/>
      <c r="JM51" s="5373"/>
      <c r="JN51" s="5373"/>
      <c r="JO51" s="5373"/>
      <c r="JP51" s="5472"/>
      <c r="JQ51" s="5473"/>
      <c r="JS51" s="3294"/>
      <c r="JT51" s="3294"/>
      <c r="JU51" s="3294"/>
      <c r="JV51" s="3294"/>
      <c r="JW51" s="3294"/>
      <c r="JX51" s="3294"/>
      <c r="JY51" s="3294"/>
      <c r="JZ51" s="3294"/>
      <c r="KA51" s="3294"/>
      <c r="KB51" s="3294"/>
      <c r="KC51" s="3294"/>
      <c r="KD51" s="3294"/>
      <c r="KE51" s="3294"/>
      <c r="KF51" s="3294"/>
      <c r="KG51" s="3294"/>
      <c r="KH51" s="3294"/>
      <c r="KI51" s="3294"/>
      <c r="KJ51" s="3294"/>
      <c r="KK51" s="3294"/>
      <c r="KL51" s="3294"/>
      <c r="KM51" s="3294"/>
      <c r="KN51" s="3294"/>
      <c r="KO51" s="3294"/>
    </row>
    <row r="52" spans="1:301" ht="15" thickBot="1">
      <c r="A52" s="2566"/>
      <c r="B52" s="3294"/>
      <c r="C52" s="3613"/>
      <c r="D52" s="3633">
        <v>39083</v>
      </c>
      <c r="E52" s="3633">
        <v>39114</v>
      </c>
      <c r="F52" s="3633">
        <v>39142</v>
      </c>
      <c r="G52" s="3633">
        <v>39173</v>
      </c>
      <c r="H52" s="3633">
        <v>39203</v>
      </c>
      <c r="I52" s="3633">
        <v>39234</v>
      </c>
      <c r="J52" s="3633">
        <v>39264</v>
      </c>
      <c r="K52" s="3633">
        <v>39295</v>
      </c>
      <c r="L52" s="3633">
        <v>39326</v>
      </c>
      <c r="M52" s="3633">
        <v>39356</v>
      </c>
      <c r="N52" s="3633">
        <v>39387</v>
      </c>
      <c r="O52" s="3633">
        <v>39417</v>
      </c>
      <c r="P52" s="3633">
        <v>39448</v>
      </c>
      <c r="Q52" s="3633">
        <v>39479</v>
      </c>
      <c r="R52" s="3633">
        <v>39508</v>
      </c>
      <c r="S52" s="3633">
        <v>39539</v>
      </c>
      <c r="T52" s="3633">
        <v>39569</v>
      </c>
      <c r="U52" s="3633">
        <v>39600</v>
      </c>
      <c r="V52" s="3633">
        <v>39630</v>
      </c>
      <c r="W52" s="3633">
        <v>39661</v>
      </c>
      <c r="X52" s="3633">
        <v>39692</v>
      </c>
      <c r="Y52" s="3633">
        <v>39722</v>
      </c>
      <c r="Z52" s="3633">
        <v>39753</v>
      </c>
      <c r="AA52" s="3633">
        <v>39783</v>
      </c>
      <c r="AB52" s="3633">
        <v>39814</v>
      </c>
      <c r="AC52" s="3633">
        <v>39845</v>
      </c>
      <c r="AD52" s="3633">
        <v>39873</v>
      </c>
      <c r="AE52" s="3633">
        <v>39904</v>
      </c>
      <c r="AF52" s="3633">
        <v>39934</v>
      </c>
      <c r="AG52" s="3633">
        <v>39965</v>
      </c>
      <c r="AH52" s="3633">
        <v>39995</v>
      </c>
      <c r="AI52" s="3633">
        <v>40026</v>
      </c>
      <c r="AJ52" s="3633">
        <v>40057</v>
      </c>
      <c r="AK52" s="3633">
        <v>40087</v>
      </c>
      <c r="AL52" s="3633">
        <v>40118</v>
      </c>
      <c r="AM52" s="3633">
        <v>40148</v>
      </c>
      <c r="AN52" s="3633">
        <v>40179</v>
      </c>
      <c r="AO52" s="3633">
        <v>40210</v>
      </c>
      <c r="AP52" s="3633">
        <v>40238</v>
      </c>
      <c r="AQ52" s="3633">
        <v>40269</v>
      </c>
      <c r="AR52" s="3633">
        <v>40299</v>
      </c>
      <c r="AS52" s="3633">
        <v>40330</v>
      </c>
      <c r="AT52" s="3633">
        <v>40360</v>
      </c>
      <c r="AU52" s="3633">
        <v>40391</v>
      </c>
      <c r="AV52" s="3633">
        <v>40422</v>
      </c>
      <c r="AW52" s="3633">
        <v>40452</v>
      </c>
      <c r="AX52" s="3633">
        <v>40483</v>
      </c>
      <c r="AY52" s="3633">
        <v>40513</v>
      </c>
      <c r="AZ52" s="3633">
        <v>40544</v>
      </c>
      <c r="BA52" s="3633">
        <v>40575</v>
      </c>
      <c r="BB52" s="3633">
        <v>40603</v>
      </c>
      <c r="BC52" s="3633">
        <v>40634</v>
      </c>
      <c r="BD52" s="3633">
        <v>40664</v>
      </c>
      <c r="BE52" s="3633">
        <v>40695</v>
      </c>
      <c r="BF52" s="3633">
        <v>40725</v>
      </c>
      <c r="BG52" s="3633">
        <v>40756</v>
      </c>
      <c r="BH52" s="3633">
        <v>40787</v>
      </c>
      <c r="BI52" s="3633">
        <v>40817</v>
      </c>
      <c r="BJ52" s="3633">
        <v>40848</v>
      </c>
      <c r="BK52" s="3633">
        <v>40878</v>
      </c>
      <c r="BL52" s="3633">
        <v>40909</v>
      </c>
      <c r="BM52" s="3633">
        <v>40940</v>
      </c>
      <c r="BN52" s="3633">
        <v>40969</v>
      </c>
      <c r="BO52" s="3633">
        <v>41000</v>
      </c>
      <c r="BP52" s="3633">
        <v>41030</v>
      </c>
      <c r="BQ52" s="3633">
        <v>41061</v>
      </c>
      <c r="BR52" s="3633">
        <v>41091</v>
      </c>
      <c r="BS52" s="3633">
        <v>41122</v>
      </c>
      <c r="BT52" s="3633">
        <v>41153</v>
      </c>
      <c r="BU52" s="3633">
        <v>41183</v>
      </c>
      <c r="BV52" s="3633">
        <v>41214</v>
      </c>
      <c r="BW52" s="3633">
        <v>41244</v>
      </c>
      <c r="BX52" s="3633">
        <v>41275</v>
      </c>
      <c r="BY52" s="3633">
        <v>41306</v>
      </c>
      <c r="BZ52" s="3633">
        <v>41334</v>
      </c>
      <c r="CA52" s="3633">
        <v>41365</v>
      </c>
      <c r="CB52" s="3633">
        <v>41395</v>
      </c>
      <c r="CC52" s="3633">
        <v>41426</v>
      </c>
      <c r="CD52" s="3633">
        <v>41456</v>
      </c>
      <c r="CE52" s="3633">
        <v>41487</v>
      </c>
      <c r="CF52" s="3633">
        <v>41518</v>
      </c>
      <c r="CG52" s="3633">
        <v>41548</v>
      </c>
      <c r="CH52" s="3633">
        <v>41579</v>
      </c>
      <c r="CI52" s="3633">
        <v>41609</v>
      </c>
      <c r="CJ52" s="3633">
        <v>41640</v>
      </c>
      <c r="CK52" s="3633">
        <v>41671</v>
      </c>
      <c r="CL52" s="3633">
        <v>41699</v>
      </c>
      <c r="CM52" s="3633">
        <v>41730</v>
      </c>
      <c r="CN52" s="3633">
        <v>41760</v>
      </c>
      <c r="CO52" s="3633">
        <v>41791</v>
      </c>
      <c r="CP52" s="3633">
        <v>41821</v>
      </c>
      <c r="CQ52" s="3633">
        <v>41852</v>
      </c>
      <c r="CR52" s="3633">
        <v>41883</v>
      </c>
      <c r="CS52" s="3633">
        <v>41913</v>
      </c>
      <c r="CT52" s="3633">
        <v>41944</v>
      </c>
      <c r="CU52" s="3633">
        <v>41974</v>
      </c>
      <c r="CV52" s="3633">
        <v>42005</v>
      </c>
      <c r="CW52" s="3633">
        <v>42036</v>
      </c>
      <c r="CX52" s="3633">
        <v>42064</v>
      </c>
      <c r="CY52" s="3633">
        <v>42095</v>
      </c>
      <c r="CZ52" s="3633">
        <v>42125</v>
      </c>
      <c r="DA52" s="3633">
        <v>42156</v>
      </c>
      <c r="DB52" s="3633">
        <v>42186</v>
      </c>
      <c r="DC52" s="3633">
        <v>42217</v>
      </c>
      <c r="DD52" s="3633">
        <v>42248</v>
      </c>
      <c r="DE52" s="3633">
        <v>42278</v>
      </c>
      <c r="DF52" s="3633">
        <v>42309</v>
      </c>
      <c r="DG52" s="3633">
        <v>42339</v>
      </c>
      <c r="DH52" s="3633">
        <v>42370</v>
      </c>
      <c r="DI52" s="3633">
        <v>42401</v>
      </c>
      <c r="DJ52" s="3633">
        <v>42430</v>
      </c>
      <c r="DK52" s="3633">
        <v>42461</v>
      </c>
      <c r="DL52" s="3633">
        <v>42491</v>
      </c>
      <c r="DM52" s="3633">
        <v>42522</v>
      </c>
      <c r="DN52" s="3633">
        <v>42552</v>
      </c>
      <c r="DO52" s="3633">
        <v>42583</v>
      </c>
      <c r="DP52" s="3633">
        <v>42614</v>
      </c>
      <c r="DQ52" s="3633">
        <v>42644</v>
      </c>
      <c r="DR52" s="3633">
        <v>42675</v>
      </c>
      <c r="DS52" s="3633">
        <v>42705</v>
      </c>
      <c r="DT52" s="3633">
        <v>42736</v>
      </c>
      <c r="DU52" s="3633">
        <v>42767</v>
      </c>
      <c r="DV52" s="3633">
        <v>42795</v>
      </c>
      <c r="DW52" s="3633">
        <v>42826</v>
      </c>
      <c r="DX52" s="3633">
        <v>42856</v>
      </c>
      <c r="DY52" s="3633">
        <v>42887</v>
      </c>
      <c r="DZ52" s="3633">
        <v>42917</v>
      </c>
      <c r="EA52" s="3633">
        <v>42948</v>
      </c>
      <c r="EB52" s="3633">
        <v>42979</v>
      </c>
      <c r="EC52" s="3633">
        <v>43009</v>
      </c>
      <c r="ED52" s="3633">
        <v>43040</v>
      </c>
      <c r="EE52" s="3633">
        <v>43070</v>
      </c>
      <c r="EF52" s="3633">
        <v>43101</v>
      </c>
      <c r="EG52" s="3633">
        <v>43132</v>
      </c>
      <c r="EH52" s="3633">
        <v>43160</v>
      </c>
      <c r="EI52" s="3633">
        <v>43191</v>
      </c>
      <c r="EJ52" s="3633">
        <v>43221</v>
      </c>
      <c r="EK52" s="3633">
        <v>43252</v>
      </c>
      <c r="EL52" s="3633">
        <v>43282</v>
      </c>
      <c r="EM52" s="3633">
        <v>43313</v>
      </c>
      <c r="EN52" s="3633">
        <v>43344</v>
      </c>
      <c r="EO52" s="3633">
        <v>43374</v>
      </c>
      <c r="EP52" s="3633">
        <v>43405</v>
      </c>
      <c r="EQ52" s="3633">
        <v>43435</v>
      </c>
      <c r="ER52" s="3633">
        <v>43466</v>
      </c>
      <c r="ES52" s="3633">
        <v>43497</v>
      </c>
      <c r="ET52" s="3633">
        <v>43525</v>
      </c>
      <c r="EU52" s="3633">
        <v>43556</v>
      </c>
      <c r="EV52" s="3633">
        <v>43586</v>
      </c>
      <c r="EW52" s="3633">
        <v>43617</v>
      </c>
      <c r="EX52" s="3633">
        <v>43647</v>
      </c>
      <c r="EY52" s="3633">
        <v>43678</v>
      </c>
      <c r="EZ52" s="3633">
        <v>43709</v>
      </c>
      <c r="FA52" s="3633">
        <v>43739</v>
      </c>
      <c r="FB52" s="3633">
        <v>43770</v>
      </c>
      <c r="FC52" s="3633">
        <v>43800</v>
      </c>
      <c r="FD52" s="3633">
        <v>43831</v>
      </c>
      <c r="FE52" s="3633">
        <v>43862</v>
      </c>
      <c r="FF52" s="3633">
        <v>43891</v>
      </c>
      <c r="FG52" s="3633">
        <v>43922</v>
      </c>
      <c r="FH52" s="3633">
        <v>43952</v>
      </c>
      <c r="FI52" s="3633">
        <v>43983</v>
      </c>
      <c r="FJ52" s="3633">
        <v>44013</v>
      </c>
      <c r="FK52" s="3633">
        <v>44044</v>
      </c>
      <c r="FL52" s="3633">
        <v>44075</v>
      </c>
      <c r="FM52" s="3633">
        <v>44105</v>
      </c>
      <c r="FN52" s="3633">
        <v>44136</v>
      </c>
      <c r="FO52" s="3633">
        <v>44166</v>
      </c>
      <c r="FP52" s="3633">
        <v>44197</v>
      </c>
      <c r="FQ52" s="3633">
        <v>44228</v>
      </c>
      <c r="FR52" s="3633">
        <v>44256</v>
      </c>
      <c r="FS52" s="3633">
        <v>44287</v>
      </c>
      <c r="FT52" s="3633">
        <v>44317</v>
      </c>
      <c r="FU52" s="3633">
        <v>44348</v>
      </c>
      <c r="FV52" s="3633">
        <v>44378</v>
      </c>
      <c r="FW52" s="3633">
        <v>44409</v>
      </c>
      <c r="FX52" s="3633">
        <v>44440</v>
      </c>
      <c r="FY52" s="3633">
        <v>44470</v>
      </c>
      <c r="FZ52" s="3633">
        <v>44501</v>
      </c>
      <c r="GA52" s="3633">
        <v>44531</v>
      </c>
      <c r="GB52" s="1239"/>
      <c r="GC52" s="3619"/>
      <c r="GD52" s="3620"/>
      <c r="GE52" s="3620"/>
      <c r="GF52" s="3621"/>
      <c r="GG52" s="3619"/>
      <c r="GH52" s="3620"/>
      <c r="GI52" s="3620"/>
      <c r="GJ52" s="3621"/>
      <c r="GK52" s="3622"/>
      <c r="GL52" s="1239"/>
      <c r="GM52" s="1239"/>
      <c r="GN52" s="1239"/>
      <c r="GO52" s="3623"/>
      <c r="GP52" s="1239"/>
      <c r="GQ52" s="1239"/>
      <c r="GR52" s="3624"/>
      <c r="GS52" s="3625"/>
      <c r="GT52" s="2625"/>
      <c r="GU52" s="2625"/>
      <c r="GV52" s="3626"/>
      <c r="GW52" s="2625"/>
      <c r="GX52" s="2625"/>
      <c r="GY52" s="2625"/>
      <c r="GZ52" s="2625"/>
      <c r="HA52" s="2625"/>
      <c r="HB52" s="2625"/>
      <c r="HC52" s="2625"/>
      <c r="HD52" s="2625"/>
      <c r="HE52" s="2625"/>
      <c r="HF52" s="2625"/>
      <c r="HG52" s="2625"/>
      <c r="HH52" s="2625"/>
      <c r="HI52" s="2625"/>
      <c r="HJ52" s="2625"/>
      <c r="HK52" s="2625"/>
      <c r="HL52" s="2625"/>
      <c r="HM52" s="2625"/>
      <c r="HN52" s="2625"/>
      <c r="HO52" s="2625"/>
      <c r="HP52" s="2625"/>
      <c r="HQ52" s="2625"/>
      <c r="HR52" s="2625"/>
      <c r="HS52" s="2625"/>
      <c r="HT52" s="2625"/>
      <c r="HU52" s="2750"/>
      <c r="HV52" s="2625"/>
      <c r="HW52" s="2625"/>
      <c r="HX52" s="2625"/>
      <c r="HY52" s="2750"/>
      <c r="HZ52" s="2625"/>
      <c r="IA52" s="2625"/>
      <c r="IB52" s="2625"/>
      <c r="IC52" s="2750"/>
      <c r="ID52" s="2625"/>
      <c r="IE52" s="2625"/>
      <c r="IF52" s="3627"/>
      <c r="IG52" s="2750"/>
      <c r="IH52" s="2625"/>
      <c r="II52" s="2625"/>
      <c r="IJ52" s="2625"/>
      <c r="IK52" s="2577"/>
      <c r="IL52" s="2551"/>
      <c r="IM52" s="3628"/>
      <c r="IN52" s="3628"/>
      <c r="IO52" s="3628"/>
      <c r="IP52" s="3628"/>
      <c r="IQ52" s="3628"/>
      <c r="IR52" s="3629"/>
      <c r="IS52" s="3629"/>
      <c r="IT52" s="3629"/>
      <c r="IU52" s="3629"/>
      <c r="IV52" s="3629"/>
      <c r="IW52" s="3629"/>
      <c r="IX52" s="3630"/>
      <c r="IY52" s="3631"/>
      <c r="IZ52" s="3632"/>
      <c r="JA52" s="3578"/>
      <c r="JC52" s="3603"/>
      <c r="JD52" s="3601"/>
      <c r="JE52" s="3598"/>
      <c r="JF52" s="3598"/>
      <c r="JG52" s="3598"/>
      <c r="JH52" s="3598"/>
      <c r="JI52" s="3596"/>
      <c r="JJ52" s="709"/>
      <c r="JK52" s="3600"/>
      <c r="JL52" s="3599"/>
      <c r="JM52" s="3599"/>
      <c r="JN52" s="3599"/>
      <c r="JO52" s="3599"/>
      <c r="JP52" s="3597"/>
      <c r="JQ52" s="3596"/>
      <c r="JS52" s="3294"/>
      <c r="JT52" s="3294"/>
      <c r="JU52" s="3294"/>
      <c r="JV52" s="3294"/>
      <c r="JW52" s="3294"/>
      <c r="JX52" s="3294"/>
      <c r="JY52" s="3294"/>
      <c r="JZ52" s="3294"/>
      <c r="KA52" s="3294"/>
      <c r="KB52" s="3294"/>
      <c r="KC52" s="3294"/>
      <c r="KD52" s="3294"/>
      <c r="KE52" s="3294"/>
      <c r="KF52" s="3294"/>
      <c r="KG52" s="3294"/>
      <c r="KH52" s="3294"/>
      <c r="KI52" s="3294"/>
      <c r="KJ52" s="3294"/>
      <c r="KK52" s="3294"/>
      <c r="KL52" s="3294"/>
      <c r="KM52" s="3294"/>
      <c r="KN52" s="3294"/>
      <c r="KO52" s="3294"/>
    </row>
    <row r="53" spans="1:301" ht="15" hidden="1" thickBot="1">
      <c r="A53" s="2566"/>
      <c r="B53" s="3328"/>
      <c r="C53" s="3329" t="s">
        <v>9</v>
      </c>
      <c r="D53" s="3330">
        <v>4125</v>
      </c>
      <c r="E53" s="3331">
        <v>5109</v>
      </c>
      <c r="F53" s="3331">
        <v>3995</v>
      </c>
      <c r="G53" s="3331">
        <v>3559</v>
      </c>
      <c r="H53" s="3331">
        <v>4084</v>
      </c>
      <c r="I53" s="3331">
        <v>7256</v>
      </c>
      <c r="J53" s="3331">
        <v>7516</v>
      </c>
      <c r="K53" s="3331">
        <v>5818</v>
      </c>
      <c r="L53" s="3331">
        <v>4173</v>
      </c>
      <c r="M53" s="3331">
        <v>3257</v>
      </c>
      <c r="N53" s="3331">
        <v>4570</v>
      </c>
      <c r="O53" s="3332">
        <v>5712</v>
      </c>
      <c r="P53" s="3333">
        <v>3653</v>
      </c>
      <c r="Q53" s="3334">
        <v>4175</v>
      </c>
      <c r="R53" s="3334">
        <v>2857</v>
      </c>
      <c r="S53" s="3334">
        <v>1942</v>
      </c>
      <c r="T53" s="3334">
        <v>2424</v>
      </c>
      <c r="U53" s="3334">
        <v>3478</v>
      </c>
      <c r="V53" s="3334">
        <v>2812</v>
      </c>
      <c r="W53" s="3334">
        <v>2074</v>
      </c>
      <c r="X53" s="3334">
        <v>1182</v>
      </c>
      <c r="Y53" s="3334">
        <v>1427</v>
      </c>
      <c r="Z53" s="3334">
        <v>1712</v>
      </c>
      <c r="AA53" s="3335">
        <v>2004</v>
      </c>
      <c r="AB53" s="3336">
        <v>1619</v>
      </c>
      <c r="AC53" s="3337">
        <v>2092</v>
      </c>
      <c r="AD53" s="3337">
        <v>1575</v>
      </c>
      <c r="AE53" s="3337">
        <v>1177</v>
      </c>
      <c r="AF53" s="3337">
        <v>2236.5</v>
      </c>
      <c r="AG53" s="3337">
        <v>3296</v>
      </c>
      <c r="AH53" s="3337">
        <v>3158</v>
      </c>
      <c r="AI53" s="3337">
        <v>4901</v>
      </c>
      <c r="AJ53" s="3337">
        <v>3664</v>
      </c>
      <c r="AK53" s="3337">
        <v>3532</v>
      </c>
      <c r="AL53" s="3337">
        <v>4094</v>
      </c>
      <c r="AM53" s="3338">
        <v>5688</v>
      </c>
      <c r="AN53" s="3339">
        <v>4126</v>
      </c>
      <c r="AO53" s="3340">
        <v>4096</v>
      </c>
      <c r="AP53" s="3340">
        <v>3069</v>
      </c>
      <c r="AQ53" s="3340">
        <v>2441</v>
      </c>
      <c r="AR53" s="3340">
        <v>3614</v>
      </c>
      <c r="AS53" s="3340">
        <v>4973</v>
      </c>
      <c r="AT53" s="3340">
        <v>4295</v>
      </c>
      <c r="AU53" s="3340">
        <v>3922</v>
      </c>
      <c r="AV53" s="3340">
        <v>3884</v>
      </c>
      <c r="AW53" s="3340">
        <v>4361</v>
      </c>
      <c r="AX53" s="3340">
        <v>3757</v>
      </c>
      <c r="AY53" s="3341">
        <v>4309</v>
      </c>
      <c r="AZ53" s="3342">
        <v>3744</v>
      </c>
      <c r="BA53" s="3342">
        <v>3244</v>
      </c>
      <c r="BB53" s="3342">
        <v>3052</v>
      </c>
      <c r="BC53" s="3342">
        <v>2818</v>
      </c>
      <c r="BD53" s="3342">
        <v>2629</v>
      </c>
      <c r="BE53" s="3342">
        <v>4974</v>
      </c>
      <c r="BF53" s="3342">
        <v>3543</v>
      </c>
      <c r="BG53" s="3342">
        <v>3098</v>
      </c>
      <c r="BH53" s="3342">
        <v>2495</v>
      </c>
      <c r="BI53" s="3342">
        <v>2223</v>
      </c>
      <c r="BJ53" s="3342">
        <v>2836</v>
      </c>
      <c r="BK53" s="3343">
        <v>3329</v>
      </c>
      <c r="BL53" s="3344">
        <v>5325</v>
      </c>
      <c r="BM53" s="3345">
        <v>3242</v>
      </c>
      <c r="BN53" s="3345">
        <v>2313</v>
      </c>
      <c r="BO53" s="3345">
        <v>1550</v>
      </c>
      <c r="BP53" s="3345">
        <v>1783</v>
      </c>
      <c r="BQ53" s="3345">
        <v>2956</v>
      </c>
      <c r="BR53" s="3345">
        <v>2188</v>
      </c>
      <c r="BS53" s="3345">
        <v>1977</v>
      </c>
      <c r="BT53" s="3346">
        <v>1675</v>
      </c>
      <c r="BU53" s="3346">
        <v>1300</v>
      </c>
      <c r="BV53" s="3346">
        <v>2993</v>
      </c>
      <c r="BW53" s="3347">
        <v>5640</v>
      </c>
      <c r="BX53" s="3348">
        <v>3618</v>
      </c>
      <c r="BY53" s="3273">
        <v>3340</v>
      </c>
      <c r="BZ53" s="3273">
        <v>2667</v>
      </c>
      <c r="CA53" s="3273">
        <v>2436</v>
      </c>
      <c r="CB53" s="3273">
        <v>3369</v>
      </c>
      <c r="CC53" s="3273">
        <v>5607</v>
      </c>
      <c r="CD53" s="3273">
        <v>3901</v>
      </c>
      <c r="CE53" s="3273">
        <v>3792</v>
      </c>
      <c r="CF53" s="3273">
        <v>3812</v>
      </c>
      <c r="CG53" s="3273">
        <v>3101</v>
      </c>
      <c r="CH53" s="3273">
        <v>3939</v>
      </c>
      <c r="CI53" s="3275">
        <v>7349</v>
      </c>
      <c r="CJ53" s="3349">
        <v>3947</v>
      </c>
      <c r="CK53" s="3350">
        <v>4481</v>
      </c>
      <c r="CL53" s="3350">
        <v>3791</v>
      </c>
      <c r="CM53" s="3350">
        <v>3116</v>
      </c>
      <c r="CN53" s="3350">
        <v>3597</v>
      </c>
      <c r="CO53" s="3350">
        <v>3912</v>
      </c>
      <c r="CP53" s="3350">
        <v>5548</v>
      </c>
      <c r="CQ53" s="3350">
        <v>3826</v>
      </c>
      <c r="CR53" s="3350">
        <v>3484</v>
      </c>
      <c r="CS53" s="3350">
        <v>4113</v>
      </c>
      <c r="CT53" s="3350">
        <v>4509</v>
      </c>
      <c r="CU53" s="3351">
        <v>9532</v>
      </c>
      <c r="CV53" s="3349">
        <v>4858</v>
      </c>
      <c r="CW53" s="3350">
        <v>5146</v>
      </c>
      <c r="CX53" s="3272">
        <v>4036</v>
      </c>
      <c r="CY53" s="3272">
        <v>3546</v>
      </c>
      <c r="CZ53" s="3272">
        <v>4120</v>
      </c>
      <c r="DA53" s="3272">
        <v>7490</v>
      </c>
      <c r="DB53" s="3272">
        <v>7418</v>
      </c>
      <c r="DC53" s="3272">
        <v>4723</v>
      </c>
      <c r="DD53" s="3272">
        <v>4463</v>
      </c>
      <c r="DE53" s="3272">
        <v>4758</v>
      </c>
      <c r="DF53" s="3272">
        <v>5286</v>
      </c>
      <c r="DG53" s="3351">
        <v>11022</v>
      </c>
      <c r="DH53" s="3352">
        <v>5764</v>
      </c>
      <c r="DI53" s="3353">
        <v>5469</v>
      </c>
      <c r="DJ53" s="3353">
        <v>4902</v>
      </c>
      <c r="DK53" s="3354">
        <v>3816</v>
      </c>
      <c r="DL53" s="3354">
        <v>4385</v>
      </c>
      <c r="DM53" s="3354">
        <v>7671</v>
      </c>
      <c r="DN53" s="3354">
        <v>7438</v>
      </c>
      <c r="DO53" s="3354">
        <v>5209</v>
      </c>
      <c r="DP53" s="2556">
        <v>4419</v>
      </c>
      <c r="DQ53" s="3354">
        <v>7124</v>
      </c>
      <c r="DR53" s="3354">
        <v>8072</v>
      </c>
      <c r="DS53" s="3355">
        <v>18166</v>
      </c>
      <c r="DT53" s="3356">
        <v>8337</v>
      </c>
      <c r="DU53" s="3243">
        <v>9615</v>
      </c>
      <c r="DV53" s="3243">
        <v>8824</v>
      </c>
      <c r="DW53" s="3164">
        <v>8982</v>
      </c>
      <c r="DX53" s="3164">
        <v>8939</v>
      </c>
      <c r="DY53" s="3164">
        <v>14373</v>
      </c>
      <c r="DZ53" s="3164">
        <v>14826</v>
      </c>
      <c r="EA53" s="3164">
        <v>10995</v>
      </c>
      <c r="EB53" s="3164">
        <v>9420</v>
      </c>
      <c r="EC53" s="3164">
        <v>9665</v>
      </c>
      <c r="ED53" s="3164">
        <v>10353</v>
      </c>
      <c r="EE53" s="3163">
        <v>22807</v>
      </c>
      <c r="EF53" s="2532">
        <v>10292</v>
      </c>
      <c r="EG53" s="2531">
        <v>11655</v>
      </c>
      <c r="EH53" s="2531">
        <v>10438</v>
      </c>
      <c r="EI53" s="2531">
        <v>8633</v>
      </c>
      <c r="EJ53" s="2531">
        <v>10488</v>
      </c>
      <c r="EK53" s="2531">
        <v>15641</v>
      </c>
      <c r="EL53" s="2531">
        <v>15616</v>
      </c>
      <c r="EM53" s="2557">
        <v>12823</v>
      </c>
      <c r="EN53" s="2557">
        <v>10573</v>
      </c>
      <c r="EO53" s="2558">
        <v>10536</v>
      </c>
      <c r="EP53" s="2558">
        <v>11647</v>
      </c>
      <c r="EQ53" s="2559">
        <v>23383</v>
      </c>
      <c r="ER53" s="1319">
        <v>10824</v>
      </c>
      <c r="ES53" s="3357">
        <v>11688</v>
      </c>
      <c r="ET53" s="3357">
        <v>9676</v>
      </c>
      <c r="EU53" s="2560">
        <v>8788</v>
      </c>
      <c r="EV53" s="2102">
        <v>8000</v>
      </c>
      <c r="EW53" s="2102"/>
      <c r="EX53" s="2102">
        <v>0</v>
      </c>
      <c r="EY53" s="2102">
        <v>0</v>
      </c>
      <c r="EZ53" s="2102">
        <v>0</v>
      </c>
      <c r="FA53" s="2273">
        <v>0</v>
      </c>
      <c r="FB53" s="2103"/>
      <c r="FC53" s="2103"/>
      <c r="FD53" s="2522"/>
      <c r="FE53" s="2277"/>
      <c r="FF53" s="2277"/>
      <c r="FG53" s="2277"/>
      <c r="FH53" s="2277"/>
      <c r="FI53" s="2277"/>
      <c r="FJ53" s="2277"/>
      <c r="FK53" s="2277"/>
      <c r="FL53" s="2277"/>
      <c r="FM53" s="2277"/>
      <c r="FN53" s="2277"/>
      <c r="FO53" s="2277"/>
      <c r="FP53" s="2524"/>
      <c r="FQ53" s="2523"/>
      <c r="FR53" s="2523"/>
      <c r="FS53" s="2523"/>
      <c r="FT53" s="2523"/>
      <c r="FU53" s="2523"/>
      <c r="FV53" s="2523"/>
      <c r="FW53" s="2523"/>
      <c r="FX53" s="2523"/>
      <c r="FY53" s="2523"/>
      <c r="FZ53" s="2523"/>
      <c r="GA53" s="2523"/>
      <c r="GB53" s="2607"/>
      <c r="GC53" s="2754">
        <v>13229</v>
      </c>
      <c r="GD53" s="2755">
        <v>14899</v>
      </c>
      <c r="GE53" s="2755">
        <v>17507</v>
      </c>
      <c r="GF53" s="2756">
        <v>13539</v>
      </c>
      <c r="GG53" s="2757">
        <v>10685</v>
      </c>
      <c r="GH53" s="2758">
        <v>7844</v>
      </c>
      <c r="GI53" s="2758">
        <v>6068</v>
      </c>
      <c r="GJ53" s="2759">
        <v>5143</v>
      </c>
      <c r="GK53" s="2760">
        <v>5286</v>
      </c>
      <c r="GL53" s="2761">
        <v>6709.5</v>
      </c>
      <c r="GM53" s="2762">
        <v>11723</v>
      </c>
      <c r="GN53" s="2762">
        <v>13314</v>
      </c>
      <c r="GO53" s="2763">
        <v>11291</v>
      </c>
      <c r="GP53" s="2764">
        <v>11028</v>
      </c>
      <c r="GQ53" s="2764">
        <v>12101</v>
      </c>
      <c r="GR53" s="2765">
        <v>12427</v>
      </c>
      <c r="GS53" s="2766">
        <v>10040</v>
      </c>
      <c r="GT53" s="2767">
        <v>10421</v>
      </c>
      <c r="GU53" s="2767">
        <v>9136</v>
      </c>
      <c r="GV53" s="2768">
        <v>8388</v>
      </c>
      <c r="GW53" s="2764">
        <v>10880</v>
      </c>
      <c r="GX53" s="2764">
        <v>6289</v>
      </c>
      <c r="GY53" s="2764">
        <v>5840</v>
      </c>
      <c r="GZ53" s="2764">
        <v>9933</v>
      </c>
      <c r="HA53" s="2769">
        <v>9625</v>
      </c>
      <c r="HB53" s="2769">
        <v>11412</v>
      </c>
      <c r="HC53" s="2769">
        <v>11505</v>
      </c>
      <c r="HD53" s="2769">
        <v>14389</v>
      </c>
      <c r="HE53" s="2770">
        <v>12219</v>
      </c>
      <c r="HF53" s="2770">
        <v>10625</v>
      </c>
      <c r="HG53" s="2770">
        <f t="shared" ref="HG53:HG83" si="17">+CP53+CQ53+CR53</f>
        <v>12858</v>
      </c>
      <c r="HH53" s="2770">
        <v>18154</v>
      </c>
      <c r="HI53" s="2771">
        <v>14040</v>
      </c>
      <c r="HJ53" s="2771">
        <f t="shared" ref="HJ53:HJ83" si="18">+CY53+CZ53+DA53</f>
        <v>15156</v>
      </c>
      <c r="HK53" s="2771">
        <f t="shared" ref="HK53:HK83" si="19">+DB53+DC53+DD53</f>
        <v>16604</v>
      </c>
      <c r="HL53" s="2770">
        <f t="shared" ref="HL53:HL83" si="20">+DE53+DF53+DG53</f>
        <v>21066</v>
      </c>
      <c r="HM53" s="2689">
        <f t="shared" ref="HM53:HM83" si="21">+DH53+DI53+DJ53</f>
        <v>16135</v>
      </c>
      <c r="HN53" s="2689">
        <f t="shared" ref="HN53:HN83" si="22">+DM53+DL53+DK53</f>
        <v>15872</v>
      </c>
      <c r="HO53" s="2689">
        <f t="shared" ref="HO53:HO83" si="23">+DS53+DO53+DN53</f>
        <v>30813</v>
      </c>
      <c r="HP53" s="2689">
        <f t="shared" ref="HP53:HP83" si="24">+DQ53+DR53+DS53</f>
        <v>33362</v>
      </c>
      <c r="HQ53" s="2764">
        <f t="shared" ref="HQ53:HQ83" si="25">+DT53+DU53+DV53</f>
        <v>26776</v>
      </c>
      <c r="HR53" s="2764">
        <f t="shared" ref="HR53:HR83" si="26">+DW53+DX53+DY53</f>
        <v>32294</v>
      </c>
      <c r="HS53" s="2764">
        <f t="shared" ref="HS53:HS83" si="27">+DZ53+EA53+EB53</f>
        <v>35241</v>
      </c>
      <c r="HT53" s="2764">
        <f t="shared" ref="HT53:HT83" si="28">+EC53+ED53+EE53</f>
        <v>42825</v>
      </c>
      <c r="HU53" s="2772">
        <f t="shared" ref="HU53:HU83" si="29">EF53+EG53+EH53</f>
        <v>32385</v>
      </c>
      <c r="HV53" s="2769">
        <f t="shared" ref="HV53:HV83" si="30">EI53+EJ53+EK53</f>
        <v>34762</v>
      </c>
      <c r="HW53" s="2769">
        <f t="shared" ref="HW53:HW83" si="31">EL53+EM53+EN53</f>
        <v>39012</v>
      </c>
      <c r="HX53" s="2769">
        <f t="shared" ref="HX53:HX83" si="32">EO53+EP53+EQ53</f>
        <v>45566</v>
      </c>
      <c r="HY53" s="2773">
        <f t="shared" ref="HY53:HY86" si="33">ER53+ES53+ET53</f>
        <v>32188</v>
      </c>
      <c r="HZ53" s="2774">
        <f t="shared" ref="HZ53:HZ86" si="34">EU53+EV53+EW53</f>
        <v>16788</v>
      </c>
      <c r="IA53" s="2774">
        <f t="shared" ref="IA53:IA86" si="35">EX53+EY53+EZ53</f>
        <v>0</v>
      </c>
      <c r="IB53" s="2774">
        <f t="shared" ref="IB53:IB86" si="36">FA53+FB53+FC53</f>
        <v>0</v>
      </c>
      <c r="IC53" s="2775"/>
      <c r="ID53" s="2776"/>
      <c r="IE53" s="2776"/>
      <c r="IF53" s="2777"/>
      <c r="IG53" s="2775"/>
      <c r="IH53" s="2776"/>
      <c r="II53" s="2776"/>
      <c r="IJ53" s="2776"/>
      <c r="IK53" s="2578"/>
      <c r="IL53" s="3358">
        <v>59174</v>
      </c>
      <c r="IM53" s="3359">
        <v>29740</v>
      </c>
      <c r="IN53" s="3359">
        <v>37032.5</v>
      </c>
      <c r="IO53" s="3359">
        <v>46847</v>
      </c>
      <c r="IP53" s="3359">
        <v>37985</v>
      </c>
      <c r="IQ53" s="3359">
        <v>32942</v>
      </c>
      <c r="IR53" s="3360">
        <v>46931</v>
      </c>
      <c r="IS53" s="3361">
        <v>53856</v>
      </c>
      <c r="IT53" s="3361">
        <f t="shared" ref="IT53:IT85" si="37">SUM(CV53:DG53)</f>
        <v>66866</v>
      </c>
      <c r="IU53" s="3361">
        <f t="shared" ref="IU53:IU85" si="38">SUM(DH53:DS53)</f>
        <v>82435</v>
      </c>
      <c r="IV53" s="3361">
        <f t="shared" ref="IV53:IV83" si="39">SUM(DT53:EE53)</f>
        <v>137136</v>
      </c>
      <c r="IW53" s="3361">
        <f t="shared" ref="IW53:IW85" si="40">SUM(EF53:EQ53)</f>
        <v>151725</v>
      </c>
      <c r="IX53" s="3362">
        <f>SUM(ER53:FC53)</f>
        <v>48976</v>
      </c>
      <c r="IY53" s="3363">
        <f t="shared" ref="IY53:IY65" si="41">SUM(FD53:FO53)</f>
        <v>0</v>
      </c>
      <c r="IZ53" s="3364"/>
      <c r="JA53" s="3578"/>
      <c r="JC53" s="3365" t="e">
        <f>AVERAGE(IS53,IT53,IU53,IV53,IW53,IX53,#REF!)</f>
        <v>#REF!</v>
      </c>
      <c r="JD53" s="3366">
        <f t="shared" ref="JD53:JD83" si="42">IU53/$IU$86</f>
        <v>0.1313441444427095</v>
      </c>
      <c r="JE53" s="3366">
        <f t="shared" ref="JE53:JE83" si="43">IV53/$IV$86</f>
        <v>0.21003138157018122</v>
      </c>
      <c r="JF53" s="3366">
        <f>IW53/$IX$86</f>
        <v>0.22169377109542804</v>
      </c>
      <c r="JG53" s="3366">
        <f>IX53/$IX$86</f>
        <v>7.1561536550797056E-2</v>
      </c>
      <c r="JH53" s="3366" t="e">
        <f>#REF!/#REF!</f>
        <v>#REF!</v>
      </c>
      <c r="JI53" s="3367" t="e">
        <f>#REF!/#REF!</f>
        <v>#REF!</v>
      </c>
      <c r="JJ53" s="3366"/>
      <c r="JK53" s="3368">
        <f t="shared" ref="JK53:JK83" si="44">IV53/IU53-1</f>
        <v>0.66356523321404737</v>
      </c>
      <c r="JL53" s="3369" t="e">
        <f t="shared" ref="JL53:JL83" si="45">JC53/IU53-1</f>
        <v>#REF!</v>
      </c>
      <c r="JM53" s="3369">
        <f t="shared" ref="JM53:JO83" si="46">IW53/IV53-1</f>
        <v>0.10638344417220869</v>
      </c>
      <c r="JN53" s="3369">
        <f t="shared" si="46"/>
        <v>-0.67720547042346357</v>
      </c>
      <c r="JO53" s="3369" t="e">
        <f>#REF!/#REF!-1</f>
        <v>#REF!</v>
      </c>
      <c r="JP53" s="3370" t="e">
        <f>#REF!/#REF!-1</f>
        <v>#REF!</v>
      </c>
      <c r="JQ53" s="3371" t="e">
        <f>#REF!/#REF!-1</f>
        <v>#REF!</v>
      </c>
      <c r="JS53" s="3045"/>
      <c r="JT53" s="3045"/>
      <c r="JU53" s="3045"/>
      <c r="JV53" s="3045"/>
      <c r="JW53" s="3045"/>
      <c r="JX53" s="3045"/>
      <c r="JY53" s="3045"/>
      <c r="JZ53" s="3045"/>
      <c r="KA53" s="3045"/>
      <c r="KB53" s="3045"/>
      <c r="KC53" s="3045"/>
      <c r="KD53" s="3045"/>
      <c r="KE53" s="3045"/>
      <c r="KF53" s="3045"/>
      <c r="KG53" s="3045"/>
      <c r="KH53" s="3045"/>
      <c r="KI53" s="3045"/>
      <c r="KJ53" s="3045"/>
      <c r="KK53" s="3045"/>
      <c r="KL53" s="3045"/>
      <c r="KM53" s="3045"/>
      <c r="KN53" s="3045"/>
      <c r="KO53" s="3045"/>
    </row>
    <row r="54" spans="1:301" ht="21.9" customHeight="1">
      <c r="A54" s="3372"/>
      <c r="B54" s="3328"/>
      <c r="C54" s="3373" t="s">
        <v>5</v>
      </c>
      <c r="D54" s="3330">
        <v>7760</v>
      </c>
      <c r="E54" s="3331">
        <v>7608</v>
      </c>
      <c r="F54" s="3331">
        <v>9828</v>
      </c>
      <c r="G54" s="3331">
        <v>7137</v>
      </c>
      <c r="H54" s="3331">
        <v>8490</v>
      </c>
      <c r="I54" s="3331">
        <v>14706</v>
      </c>
      <c r="J54" s="3331">
        <v>16146</v>
      </c>
      <c r="K54" s="3331">
        <v>12359</v>
      </c>
      <c r="L54" s="3331">
        <v>6638</v>
      </c>
      <c r="M54" s="3331">
        <v>7413</v>
      </c>
      <c r="N54" s="3331">
        <v>8563</v>
      </c>
      <c r="O54" s="3332">
        <v>11317</v>
      </c>
      <c r="P54" s="3333">
        <v>10075</v>
      </c>
      <c r="Q54" s="3334">
        <v>13044</v>
      </c>
      <c r="R54" s="3334">
        <v>11621</v>
      </c>
      <c r="S54" s="3334">
        <v>8418</v>
      </c>
      <c r="T54" s="3334">
        <v>11294</v>
      </c>
      <c r="U54" s="3334">
        <v>18034</v>
      </c>
      <c r="V54" s="3334">
        <v>16699</v>
      </c>
      <c r="W54" s="3334">
        <v>12325</v>
      </c>
      <c r="X54" s="3334">
        <v>7659</v>
      </c>
      <c r="Y54" s="3334">
        <v>7702</v>
      </c>
      <c r="Z54" s="3334">
        <v>8570</v>
      </c>
      <c r="AA54" s="3335">
        <v>11704</v>
      </c>
      <c r="AB54" s="3336">
        <v>9962</v>
      </c>
      <c r="AC54" s="3337">
        <v>9139</v>
      </c>
      <c r="AD54" s="3337">
        <v>10302</v>
      </c>
      <c r="AE54" s="3337">
        <v>8924</v>
      </c>
      <c r="AF54" s="3337">
        <v>12993</v>
      </c>
      <c r="AG54" s="3337">
        <v>17062</v>
      </c>
      <c r="AH54" s="3337">
        <v>16655</v>
      </c>
      <c r="AI54" s="3337">
        <v>11416</v>
      </c>
      <c r="AJ54" s="3337">
        <v>6635</v>
      </c>
      <c r="AK54" s="3337">
        <v>7211</v>
      </c>
      <c r="AL54" s="3337">
        <v>7598</v>
      </c>
      <c r="AM54" s="3338">
        <v>11858</v>
      </c>
      <c r="AN54" s="3339">
        <v>9232</v>
      </c>
      <c r="AO54" s="3340">
        <v>8487</v>
      </c>
      <c r="AP54" s="3340">
        <v>10219</v>
      </c>
      <c r="AQ54" s="3340">
        <v>7810</v>
      </c>
      <c r="AR54" s="3340">
        <v>10758</v>
      </c>
      <c r="AS54" s="3340">
        <v>15930</v>
      </c>
      <c r="AT54" s="3340">
        <v>15799</v>
      </c>
      <c r="AU54" s="3340">
        <v>10584</v>
      </c>
      <c r="AV54" s="3340">
        <v>6327</v>
      </c>
      <c r="AW54" s="3340">
        <v>7725</v>
      </c>
      <c r="AX54" s="3340">
        <v>7556</v>
      </c>
      <c r="AY54" s="3341">
        <v>11437</v>
      </c>
      <c r="AZ54" s="3277">
        <v>9093</v>
      </c>
      <c r="BA54" s="3277">
        <v>9118</v>
      </c>
      <c r="BB54" s="3277">
        <v>11492</v>
      </c>
      <c r="BC54" s="3277">
        <v>9029</v>
      </c>
      <c r="BD54" s="3277">
        <v>11497</v>
      </c>
      <c r="BE54" s="3277">
        <v>16581</v>
      </c>
      <c r="BF54" s="3277">
        <v>16087</v>
      </c>
      <c r="BG54" s="3277">
        <v>10842</v>
      </c>
      <c r="BH54" s="3277">
        <v>6954</v>
      </c>
      <c r="BI54" s="3277">
        <v>7874</v>
      </c>
      <c r="BJ54" s="3277">
        <v>8957</v>
      </c>
      <c r="BK54" s="3374">
        <v>12798</v>
      </c>
      <c r="BL54" s="3344">
        <v>9054</v>
      </c>
      <c r="BM54" s="3345">
        <v>8325</v>
      </c>
      <c r="BN54" s="3345">
        <v>11925</v>
      </c>
      <c r="BO54" s="3345">
        <v>9068</v>
      </c>
      <c r="BP54" s="3345">
        <v>11902</v>
      </c>
      <c r="BQ54" s="3345">
        <v>18638</v>
      </c>
      <c r="BR54" s="3345">
        <v>18162</v>
      </c>
      <c r="BS54" s="3345">
        <v>12296</v>
      </c>
      <c r="BT54" s="3346">
        <v>8393</v>
      </c>
      <c r="BU54" s="3346">
        <v>9607</v>
      </c>
      <c r="BV54" s="3346">
        <v>9130</v>
      </c>
      <c r="BW54" s="3347">
        <v>14125</v>
      </c>
      <c r="BX54" s="3348">
        <v>11222</v>
      </c>
      <c r="BY54" s="3273">
        <v>10182</v>
      </c>
      <c r="BZ54" s="3273">
        <v>12798</v>
      </c>
      <c r="CA54" s="3273">
        <v>8722</v>
      </c>
      <c r="CB54" s="3273">
        <v>11830</v>
      </c>
      <c r="CC54" s="3273">
        <v>18551</v>
      </c>
      <c r="CD54" s="3273">
        <v>17188</v>
      </c>
      <c r="CE54" s="3273">
        <v>11501</v>
      </c>
      <c r="CF54" s="3273">
        <v>8067</v>
      </c>
      <c r="CG54" s="3273">
        <v>9168</v>
      </c>
      <c r="CH54" s="3273">
        <v>8606</v>
      </c>
      <c r="CI54" s="3275">
        <v>13760</v>
      </c>
      <c r="CJ54" s="3349">
        <v>10287</v>
      </c>
      <c r="CK54" s="3350">
        <v>10836</v>
      </c>
      <c r="CL54" s="3350">
        <v>12287</v>
      </c>
      <c r="CM54" s="3350">
        <v>9534</v>
      </c>
      <c r="CN54" s="3350">
        <v>12241</v>
      </c>
      <c r="CO54" s="3350">
        <v>19418</v>
      </c>
      <c r="CP54" s="3350">
        <v>18361</v>
      </c>
      <c r="CQ54" s="3350">
        <v>11442</v>
      </c>
      <c r="CR54" s="3350">
        <v>7926</v>
      </c>
      <c r="CS54" s="3350">
        <v>9349</v>
      </c>
      <c r="CT54" s="3350">
        <v>9325</v>
      </c>
      <c r="CU54" s="3351">
        <v>16124</v>
      </c>
      <c r="CV54" s="3349">
        <v>13066</v>
      </c>
      <c r="CW54" s="3350">
        <v>11670</v>
      </c>
      <c r="CX54" s="3272">
        <v>13778</v>
      </c>
      <c r="CY54" s="3272">
        <v>10311</v>
      </c>
      <c r="CZ54" s="3272">
        <v>13333</v>
      </c>
      <c r="DA54" s="3272">
        <v>20663</v>
      </c>
      <c r="DB54" s="3272">
        <v>21177</v>
      </c>
      <c r="DC54" s="3272">
        <v>12790</v>
      </c>
      <c r="DD54" s="3272">
        <v>8295</v>
      </c>
      <c r="DE54" s="3272">
        <v>10454</v>
      </c>
      <c r="DF54" s="3272">
        <v>10526</v>
      </c>
      <c r="DG54" s="3351">
        <v>17781</v>
      </c>
      <c r="DH54" s="3352">
        <v>13010</v>
      </c>
      <c r="DI54" s="3353">
        <v>12991</v>
      </c>
      <c r="DJ54" s="3353">
        <v>16523</v>
      </c>
      <c r="DK54" s="3354">
        <v>11438</v>
      </c>
      <c r="DL54" s="3354">
        <v>14743</v>
      </c>
      <c r="DM54" s="3354">
        <v>22278</v>
      </c>
      <c r="DN54" s="3354">
        <v>20718</v>
      </c>
      <c r="DO54" s="3354">
        <v>12747</v>
      </c>
      <c r="DP54" s="2556">
        <v>8085</v>
      </c>
      <c r="DQ54" s="3354">
        <v>8608</v>
      </c>
      <c r="DR54" s="3354">
        <v>8458</v>
      </c>
      <c r="DS54" s="3355">
        <v>14249</v>
      </c>
      <c r="DT54" s="3356">
        <v>10839</v>
      </c>
      <c r="DU54" s="3243">
        <v>9438</v>
      </c>
      <c r="DV54" s="3243">
        <v>12542</v>
      </c>
      <c r="DW54" s="3164">
        <v>10543</v>
      </c>
      <c r="DX54" s="3164">
        <v>11258</v>
      </c>
      <c r="DY54" s="3164">
        <v>20272</v>
      </c>
      <c r="DZ54" s="3164">
        <v>17940</v>
      </c>
      <c r="EA54" s="3164">
        <v>10624</v>
      </c>
      <c r="EB54" s="3164">
        <v>7285</v>
      </c>
      <c r="EC54" s="3164">
        <v>7872</v>
      </c>
      <c r="ED54" s="3164">
        <v>8957</v>
      </c>
      <c r="EE54" s="3163">
        <v>14636</v>
      </c>
      <c r="EF54" s="2532">
        <v>11180</v>
      </c>
      <c r="EG54" s="2531">
        <v>10692</v>
      </c>
      <c r="EH54" s="2531">
        <v>15555</v>
      </c>
      <c r="EI54" s="2531">
        <v>9707</v>
      </c>
      <c r="EJ54" s="2531">
        <v>13514</v>
      </c>
      <c r="EK54" s="2531">
        <v>21285</v>
      </c>
      <c r="EL54" s="2531">
        <v>17119</v>
      </c>
      <c r="EM54" s="2557">
        <v>10772</v>
      </c>
      <c r="EN54" s="2557">
        <v>7523</v>
      </c>
      <c r="EO54" s="2558">
        <v>8091</v>
      </c>
      <c r="EP54" s="2558">
        <v>8887</v>
      </c>
      <c r="EQ54" s="2559">
        <v>14417</v>
      </c>
      <c r="ER54" s="1320">
        <v>11535</v>
      </c>
      <c r="ES54" s="3357">
        <v>10029</v>
      </c>
      <c r="ET54" s="3357">
        <v>13852</v>
      </c>
      <c r="EU54" s="2560">
        <v>10247</v>
      </c>
      <c r="EV54" s="2104">
        <f>18194-EV53</f>
        <v>10194</v>
      </c>
      <c r="EW54" s="2104">
        <f>27252-EW53</f>
        <v>27252</v>
      </c>
      <c r="EX54" s="2104">
        <v>24033</v>
      </c>
      <c r="EY54" s="2104">
        <v>16389</v>
      </c>
      <c r="EZ54" s="2104">
        <v>12076</v>
      </c>
      <c r="FA54" s="2275">
        <v>10654</v>
      </c>
      <c r="FB54" s="2275">
        <v>13694</v>
      </c>
      <c r="FC54" s="2275">
        <v>20560</v>
      </c>
      <c r="FD54" s="2608">
        <v>15918</v>
      </c>
      <c r="FE54" s="2609">
        <v>16475</v>
      </c>
      <c r="FF54" s="2609">
        <v>6730</v>
      </c>
      <c r="FG54" s="2609">
        <v>88</v>
      </c>
      <c r="FH54" s="2609">
        <v>146</v>
      </c>
      <c r="FI54" s="2609">
        <v>570</v>
      </c>
      <c r="FJ54" s="2609">
        <v>1194</v>
      </c>
      <c r="FK54" s="2609">
        <v>1377</v>
      </c>
      <c r="FL54" s="2609">
        <v>1707</v>
      </c>
      <c r="FM54" s="2609">
        <v>2600</v>
      </c>
      <c r="FN54" s="2609">
        <v>3904</v>
      </c>
      <c r="FO54" s="2610">
        <v>7006</v>
      </c>
      <c r="FP54" s="2611">
        <v>4551</v>
      </c>
      <c r="FQ54" s="2612">
        <v>3828</v>
      </c>
      <c r="FR54" s="2612">
        <v>5327</v>
      </c>
      <c r="FS54" s="2612">
        <v>5475</v>
      </c>
      <c r="FT54" s="2612">
        <v>6558</v>
      </c>
      <c r="FU54" s="2612"/>
      <c r="FV54" s="2612"/>
      <c r="FW54" s="2612"/>
      <c r="FX54" s="2612"/>
      <c r="FY54" s="2612"/>
      <c r="FZ54" s="2612"/>
      <c r="GA54" s="2613"/>
      <c r="GB54" s="2607"/>
      <c r="GC54" s="2754">
        <v>25196</v>
      </c>
      <c r="GD54" s="2755">
        <v>30333</v>
      </c>
      <c r="GE54" s="2755">
        <v>35143</v>
      </c>
      <c r="GF54" s="2756">
        <v>27293</v>
      </c>
      <c r="GG54" s="2757">
        <v>34740</v>
      </c>
      <c r="GH54" s="2758">
        <v>37746</v>
      </c>
      <c r="GI54" s="2758">
        <v>36683</v>
      </c>
      <c r="GJ54" s="2759">
        <v>27976</v>
      </c>
      <c r="GK54" s="2760">
        <v>29403</v>
      </c>
      <c r="GL54" s="2761">
        <v>38979</v>
      </c>
      <c r="GM54" s="2762">
        <v>34706</v>
      </c>
      <c r="GN54" s="2762">
        <v>26667</v>
      </c>
      <c r="GO54" s="2763">
        <v>27938</v>
      </c>
      <c r="GP54" s="2764">
        <v>34498</v>
      </c>
      <c r="GQ54" s="2764">
        <v>32710</v>
      </c>
      <c r="GR54" s="2765">
        <v>26718</v>
      </c>
      <c r="GS54" s="2766">
        <v>29703</v>
      </c>
      <c r="GT54" s="2767">
        <v>37107</v>
      </c>
      <c r="GU54" s="2767">
        <v>33883</v>
      </c>
      <c r="GV54" s="2768">
        <v>29629</v>
      </c>
      <c r="GW54" s="2764">
        <v>29304</v>
      </c>
      <c r="GX54" s="2764">
        <v>39608</v>
      </c>
      <c r="GY54" s="2764">
        <v>38851</v>
      </c>
      <c r="GZ54" s="2764">
        <v>32862</v>
      </c>
      <c r="HA54" s="2769">
        <v>34202</v>
      </c>
      <c r="HB54" s="2769">
        <v>39103</v>
      </c>
      <c r="HC54" s="2769">
        <v>36756</v>
      </c>
      <c r="HD54" s="2769">
        <v>31534</v>
      </c>
      <c r="HE54" s="2770">
        <v>33410</v>
      </c>
      <c r="HF54" s="2770">
        <v>41193</v>
      </c>
      <c r="HG54" s="2770">
        <f t="shared" si="17"/>
        <v>37729</v>
      </c>
      <c r="HH54" s="2770">
        <v>34798</v>
      </c>
      <c r="HI54" s="2771">
        <v>38514</v>
      </c>
      <c r="HJ54" s="2771">
        <f t="shared" si="18"/>
        <v>44307</v>
      </c>
      <c r="HK54" s="2771">
        <f t="shared" si="19"/>
        <v>42262</v>
      </c>
      <c r="HL54" s="2770">
        <f t="shared" si="20"/>
        <v>38761</v>
      </c>
      <c r="HM54" s="2689">
        <f t="shared" si="21"/>
        <v>42524</v>
      </c>
      <c r="HN54" s="2689">
        <f t="shared" si="22"/>
        <v>48459</v>
      </c>
      <c r="HO54" s="2689">
        <f t="shared" si="23"/>
        <v>47714</v>
      </c>
      <c r="HP54" s="2689">
        <f t="shared" si="24"/>
        <v>31315</v>
      </c>
      <c r="HQ54" s="2764">
        <f t="shared" si="25"/>
        <v>32819</v>
      </c>
      <c r="HR54" s="2764">
        <f t="shared" si="26"/>
        <v>42073</v>
      </c>
      <c r="HS54" s="2764">
        <f t="shared" si="27"/>
        <v>35849</v>
      </c>
      <c r="HT54" s="2764">
        <f t="shared" si="28"/>
        <v>31465</v>
      </c>
      <c r="HU54" s="2772">
        <f t="shared" si="29"/>
        <v>37427</v>
      </c>
      <c r="HV54" s="2769">
        <f t="shared" si="30"/>
        <v>44506</v>
      </c>
      <c r="HW54" s="2769">
        <f t="shared" si="31"/>
        <v>35414</v>
      </c>
      <c r="HX54" s="2769">
        <f t="shared" si="32"/>
        <v>31395</v>
      </c>
      <c r="HY54" s="2773">
        <f t="shared" si="33"/>
        <v>35416</v>
      </c>
      <c r="HZ54" s="2774">
        <f t="shared" si="34"/>
        <v>47693</v>
      </c>
      <c r="IA54" s="2774">
        <f t="shared" si="35"/>
        <v>52498</v>
      </c>
      <c r="IB54" s="2774">
        <f t="shared" si="36"/>
        <v>44908</v>
      </c>
      <c r="IC54" s="2775">
        <f t="shared" ref="IC54:IC61" si="47">FD54+FE54+FF54</f>
        <v>39123</v>
      </c>
      <c r="ID54" s="2776">
        <f t="shared" ref="ID54:ID61" si="48">FG54+FH54+FI54</f>
        <v>804</v>
      </c>
      <c r="IE54" s="2776">
        <f t="shared" ref="IE54:IE61" si="49">EX54+EY54+EZ54</f>
        <v>52498</v>
      </c>
      <c r="IF54" s="2777">
        <f t="shared" ref="IF54:IF61" si="50">FM54+FN54+FO54</f>
        <v>13510</v>
      </c>
      <c r="IG54" s="2772">
        <f t="shared" ref="IG54:IG85" si="51">FP54+FQ54+FR54</f>
        <v>13706</v>
      </c>
      <c r="IH54" s="2769">
        <f t="shared" ref="IH54:IH85" si="52">FS54+FT54+FU54</f>
        <v>12033</v>
      </c>
      <c r="II54" s="2769">
        <f t="shared" ref="II54:II85" si="53">FV54+FW54+FX54</f>
        <v>0</v>
      </c>
      <c r="IJ54" s="2769">
        <f t="shared" ref="IJ54:IJ85" si="54">FY54+FZ54+GA54</f>
        <v>0</v>
      </c>
      <c r="IK54" s="2578"/>
      <c r="IL54" s="3358">
        <v>117965</v>
      </c>
      <c r="IM54" s="3359">
        <v>137145</v>
      </c>
      <c r="IN54" s="3359">
        <v>129755</v>
      </c>
      <c r="IO54" s="3359">
        <v>121864</v>
      </c>
      <c r="IP54" s="3359">
        <v>130322</v>
      </c>
      <c r="IQ54" s="3359">
        <v>140625</v>
      </c>
      <c r="IR54" s="3360">
        <v>141595</v>
      </c>
      <c r="IS54" s="3361">
        <v>147130</v>
      </c>
      <c r="IT54" s="3361">
        <f t="shared" si="37"/>
        <v>163844</v>
      </c>
      <c r="IU54" s="3361">
        <f t="shared" si="38"/>
        <v>163848</v>
      </c>
      <c r="IV54" s="3361">
        <f t="shared" si="39"/>
        <v>142206</v>
      </c>
      <c r="IW54" s="3375">
        <f t="shared" si="40"/>
        <v>148742</v>
      </c>
      <c r="IX54" s="3376">
        <f t="shared" ref="IX54:IX83" si="55">SUM(ER54:FC54)</f>
        <v>180515</v>
      </c>
      <c r="IY54" s="3377">
        <f t="shared" si="41"/>
        <v>57715</v>
      </c>
      <c r="IZ54" s="3378">
        <f>SUM(FF54:FQ54)</f>
        <v>33701</v>
      </c>
      <c r="JA54" s="3579">
        <f>SUM(FP54:GA54)</f>
        <v>25739</v>
      </c>
      <c r="JC54" s="3365">
        <f>AVERAGE(IY54:IZ54)</f>
        <v>45708</v>
      </c>
      <c r="JD54" s="3366">
        <f t="shared" si="42"/>
        <v>0.2610599305956095</v>
      </c>
      <c r="JE54" s="3366">
        <f t="shared" si="43"/>
        <v>0.2177963674568982</v>
      </c>
      <c r="JF54" s="3366">
        <f>IW54/$IW$86</f>
        <v>0.21479237305268509</v>
      </c>
      <c r="JG54" s="3366">
        <f t="shared" ref="JG54:JG83" si="56">IX54/$IX$86</f>
        <v>0.26376042899516355</v>
      </c>
      <c r="JH54" s="3366">
        <f>IY54/$IY$86</f>
        <v>0.30309793768413534</v>
      </c>
      <c r="JI54" s="3379">
        <f>IZ54/$IZ$86</f>
        <v>0.11993409158849236</v>
      </c>
      <c r="JJ54" s="3366"/>
      <c r="JK54" s="3368">
        <f t="shared" si="44"/>
        <v>-0.13208583565255605</v>
      </c>
      <c r="JL54" s="3369">
        <f t="shared" si="45"/>
        <v>-0.72103412919291054</v>
      </c>
      <c r="JM54" s="3369">
        <f t="shared" si="46"/>
        <v>4.5961492482736288E-2</v>
      </c>
      <c r="JN54" s="3369">
        <f t="shared" si="46"/>
        <v>0.21361148834895327</v>
      </c>
      <c r="JO54" s="3369">
        <f>IY54/IX54-1</f>
        <v>-0.68027587735091266</v>
      </c>
      <c r="JP54" s="3370">
        <f>IZ54/IX54-1</f>
        <v>-0.81330637343157075</v>
      </c>
      <c r="JQ54" s="3371">
        <f>IZ54/IY54-1</f>
        <v>-0.41607900892315686</v>
      </c>
      <c r="JS54" s="3045"/>
      <c r="JT54" s="3045"/>
      <c r="JU54" s="3045"/>
      <c r="JV54" s="3045"/>
      <c r="JW54" s="3045"/>
      <c r="JX54" s="3045"/>
      <c r="JY54" s="3045"/>
      <c r="JZ54" s="3045"/>
      <c r="KA54" s="3045"/>
      <c r="KB54" s="3045"/>
      <c r="KC54" s="3045"/>
      <c r="KD54" s="3045"/>
      <c r="KE54" s="3045"/>
      <c r="KF54" s="3045"/>
      <c r="KG54" s="3045"/>
      <c r="KH54" s="3045"/>
      <c r="KI54" s="3045"/>
      <c r="KJ54" s="3045"/>
      <c r="KK54" s="3045"/>
      <c r="KL54" s="3045"/>
      <c r="KM54" s="3045"/>
      <c r="KN54" s="3045"/>
      <c r="KO54" s="3045"/>
    </row>
    <row r="55" spans="1:301" ht="21.9" customHeight="1">
      <c r="A55" s="3372"/>
      <c r="B55" s="3045"/>
      <c r="C55" s="3373" t="s">
        <v>6</v>
      </c>
      <c r="D55" s="3330">
        <v>3612</v>
      </c>
      <c r="E55" s="3331">
        <v>3116</v>
      </c>
      <c r="F55" s="3331">
        <v>3978</v>
      </c>
      <c r="G55" s="3331">
        <v>3576</v>
      </c>
      <c r="H55" s="3331">
        <v>3473</v>
      </c>
      <c r="I55" s="3331">
        <v>4582</v>
      </c>
      <c r="J55" s="3331">
        <v>4498</v>
      </c>
      <c r="K55" s="3331">
        <v>4352</v>
      </c>
      <c r="L55" s="3331">
        <v>3527</v>
      </c>
      <c r="M55" s="3331">
        <v>4205</v>
      </c>
      <c r="N55" s="3331">
        <v>3971</v>
      </c>
      <c r="O55" s="3332">
        <v>4158</v>
      </c>
      <c r="P55" s="3333">
        <v>4338</v>
      </c>
      <c r="Q55" s="3334">
        <v>5058</v>
      </c>
      <c r="R55" s="3334">
        <v>3960</v>
      </c>
      <c r="S55" s="3334">
        <v>3703</v>
      </c>
      <c r="T55" s="3334">
        <v>3953</v>
      </c>
      <c r="U55" s="3334">
        <v>4572</v>
      </c>
      <c r="V55" s="3334">
        <v>4180</v>
      </c>
      <c r="W55" s="3334">
        <v>4336</v>
      </c>
      <c r="X55" s="3334">
        <v>4204</v>
      </c>
      <c r="Y55" s="3334">
        <v>4674</v>
      </c>
      <c r="Z55" s="3334">
        <v>4854</v>
      </c>
      <c r="AA55" s="3335">
        <v>4274</v>
      </c>
      <c r="AB55" s="3336">
        <v>4073</v>
      </c>
      <c r="AC55" s="3337">
        <v>2886</v>
      </c>
      <c r="AD55" s="3337">
        <v>3369</v>
      </c>
      <c r="AE55" s="3337">
        <v>3480</v>
      </c>
      <c r="AF55" s="3337">
        <v>3860</v>
      </c>
      <c r="AG55" s="3337">
        <v>4240</v>
      </c>
      <c r="AH55" s="3337">
        <v>3540</v>
      </c>
      <c r="AI55" s="3337">
        <v>3377</v>
      </c>
      <c r="AJ55" s="3337">
        <v>3115</v>
      </c>
      <c r="AK55" s="3337">
        <v>3286</v>
      </c>
      <c r="AL55" s="3337">
        <v>3811</v>
      </c>
      <c r="AM55" s="3338">
        <v>4393</v>
      </c>
      <c r="AN55" s="3339">
        <v>4213</v>
      </c>
      <c r="AO55" s="3340">
        <v>5082</v>
      </c>
      <c r="AP55" s="3340">
        <v>4528</v>
      </c>
      <c r="AQ55" s="3340">
        <v>3869</v>
      </c>
      <c r="AR55" s="3340">
        <v>4155</v>
      </c>
      <c r="AS55" s="3340">
        <v>4580</v>
      </c>
      <c r="AT55" s="3340">
        <v>3726</v>
      </c>
      <c r="AU55" s="3340">
        <v>4284</v>
      </c>
      <c r="AV55" s="3340">
        <v>4206</v>
      </c>
      <c r="AW55" s="3340">
        <v>3205</v>
      </c>
      <c r="AX55" s="3340">
        <v>4265</v>
      </c>
      <c r="AY55" s="3341">
        <v>5299</v>
      </c>
      <c r="AZ55" s="3277">
        <v>4599</v>
      </c>
      <c r="BA55" s="3277">
        <v>4035</v>
      </c>
      <c r="BB55" s="3277">
        <v>4283</v>
      </c>
      <c r="BC55" s="3277">
        <v>4324</v>
      </c>
      <c r="BD55" s="3277">
        <v>4000</v>
      </c>
      <c r="BE55" s="3277">
        <v>4403</v>
      </c>
      <c r="BF55" s="3277">
        <v>4279</v>
      </c>
      <c r="BG55" s="3277">
        <v>4167</v>
      </c>
      <c r="BH55" s="3277">
        <v>3958</v>
      </c>
      <c r="BI55" s="3277">
        <v>4138</v>
      </c>
      <c r="BJ55" s="3277">
        <v>4519</v>
      </c>
      <c r="BK55" s="3374">
        <v>5404</v>
      </c>
      <c r="BL55" s="3344">
        <v>4222</v>
      </c>
      <c r="BM55" s="3345">
        <v>3651</v>
      </c>
      <c r="BN55" s="3345">
        <v>5058</v>
      </c>
      <c r="BO55" s="3345">
        <v>5339</v>
      </c>
      <c r="BP55" s="3345">
        <v>5273</v>
      </c>
      <c r="BQ55" s="3345">
        <v>7476</v>
      </c>
      <c r="BR55" s="3345">
        <v>6425</v>
      </c>
      <c r="BS55" s="3345">
        <v>5246</v>
      </c>
      <c r="BT55" s="3346">
        <v>5162</v>
      </c>
      <c r="BU55" s="3346">
        <v>6180</v>
      </c>
      <c r="BV55" s="3346">
        <v>5649</v>
      </c>
      <c r="BW55" s="3347">
        <v>7785</v>
      </c>
      <c r="BX55" s="3348">
        <v>6627</v>
      </c>
      <c r="BY55" s="3273">
        <v>4735</v>
      </c>
      <c r="BZ55" s="3273">
        <v>6020</v>
      </c>
      <c r="CA55" s="3273">
        <v>4853</v>
      </c>
      <c r="CB55" s="3273">
        <v>5241</v>
      </c>
      <c r="CC55" s="3273">
        <v>6297</v>
      </c>
      <c r="CD55" s="3273">
        <v>6066</v>
      </c>
      <c r="CE55" s="3273">
        <v>4747</v>
      </c>
      <c r="CF55" s="3273">
        <v>5233</v>
      </c>
      <c r="CG55" s="3273">
        <v>5182</v>
      </c>
      <c r="CH55" s="3273">
        <v>5169</v>
      </c>
      <c r="CI55" s="3275">
        <v>7563</v>
      </c>
      <c r="CJ55" s="3349">
        <v>6453</v>
      </c>
      <c r="CK55" s="3350">
        <v>6126</v>
      </c>
      <c r="CL55" s="3350">
        <v>4727</v>
      </c>
      <c r="CM55" s="3350">
        <v>6021</v>
      </c>
      <c r="CN55" s="3350">
        <v>5531</v>
      </c>
      <c r="CO55" s="3350">
        <v>6575</v>
      </c>
      <c r="CP55" s="3350">
        <v>5999</v>
      </c>
      <c r="CQ55" s="3350">
        <v>4680</v>
      </c>
      <c r="CR55" s="3350">
        <v>5649</v>
      </c>
      <c r="CS55" s="3350">
        <v>5721</v>
      </c>
      <c r="CT55" s="3350">
        <v>5569</v>
      </c>
      <c r="CU55" s="3351">
        <v>8371</v>
      </c>
      <c r="CV55" s="3349">
        <v>6640</v>
      </c>
      <c r="CW55" s="3350">
        <v>4736</v>
      </c>
      <c r="CX55" s="3272">
        <v>5948</v>
      </c>
      <c r="CY55" s="3272">
        <v>4689</v>
      </c>
      <c r="CZ55" s="3272">
        <v>4319</v>
      </c>
      <c r="DA55" s="3272">
        <v>4879</v>
      </c>
      <c r="DB55" s="3272">
        <v>4752</v>
      </c>
      <c r="DC55" s="3272">
        <v>3500</v>
      </c>
      <c r="DD55" s="3272">
        <v>4127</v>
      </c>
      <c r="DE55" s="3272">
        <v>4183</v>
      </c>
      <c r="DF55" s="3272">
        <v>4285</v>
      </c>
      <c r="DG55" s="3351">
        <v>4830</v>
      </c>
      <c r="DH55" s="3352">
        <v>4076</v>
      </c>
      <c r="DI55" s="3353">
        <v>3914</v>
      </c>
      <c r="DJ55" s="3353">
        <v>4490</v>
      </c>
      <c r="DK55" s="3354">
        <v>3335</v>
      </c>
      <c r="DL55" s="3354">
        <v>3996</v>
      </c>
      <c r="DM55" s="3354">
        <v>4670</v>
      </c>
      <c r="DN55" s="3354">
        <v>5537</v>
      </c>
      <c r="DO55" s="3354">
        <v>4018</v>
      </c>
      <c r="DP55" s="2556">
        <v>4519</v>
      </c>
      <c r="DQ55" s="3354">
        <v>5595</v>
      </c>
      <c r="DR55" s="3354">
        <v>4741</v>
      </c>
      <c r="DS55" s="3355">
        <v>6269</v>
      </c>
      <c r="DT55" s="3356">
        <v>5134</v>
      </c>
      <c r="DU55" s="3243">
        <v>3872</v>
      </c>
      <c r="DV55" s="3243">
        <v>5370</v>
      </c>
      <c r="DW55" s="3164">
        <v>4990</v>
      </c>
      <c r="DX55" s="3164">
        <v>3983</v>
      </c>
      <c r="DY55" s="3164">
        <v>5374</v>
      </c>
      <c r="DZ55" s="3164">
        <v>4853</v>
      </c>
      <c r="EA55" s="3164">
        <v>3383</v>
      </c>
      <c r="EB55" s="3164">
        <v>3872</v>
      </c>
      <c r="EC55" s="3164">
        <v>4508</v>
      </c>
      <c r="ED55" s="3164">
        <v>4726</v>
      </c>
      <c r="EE55" s="3163">
        <v>5220</v>
      </c>
      <c r="EF55" s="2532">
        <v>4683</v>
      </c>
      <c r="EG55" s="2531">
        <v>3861</v>
      </c>
      <c r="EH55" s="2531">
        <v>4441</v>
      </c>
      <c r="EI55" s="2531">
        <v>4400</v>
      </c>
      <c r="EJ55" s="2531">
        <v>4233</v>
      </c>
      <c r="EK55" s="2531">
        <v>5316</v>
      </c>
      <c r="EL55" s="2531">
        <v>5022</v>
      </c>
      <c r="EM55" s="2557">
        <v>3702</v>
      </c>
      <c r="EN55" s="2557">
        <v>4846</v>
      </c>
      <c r="EO55" s="2558">
        <v>5051</v>
      </c>
      <c r="EP55" s="2558">
        <v>4639</v>
      </c>
      <c r="EQ55" s="2559">
        <v>5112</v>
      </c>
      <c r="ER55" s="1320">
        <v>4089</v>
      </c>
      <c r="ES55" s="3357">
        <v>3965</v>
      </c>
      <c r="ET55" s="3357">
        <v>4027</v>
      </c>
      <c r="EU55" s="2560">
        <v>4474</v>
      </c>
      <c r="EV55" s="2104">
        <v>5071</v>
      </c>
      <c r="EW55" s="2104">
        <v>5044</v>
      </c>
      <c r="EX55" s="2104">
        <v>5286</v>
      </c>
      <c r="EY55" s="2104">
        <v>4513</v>
      </c>
      <c r="EZ55" s="2104">
        <v>5430</v>
      </c>
      <c r="FA55" s="2275">
        <v>4227</v>
      </c>
      <c r="FB55" s="2275">
        <v>5428</v>
      </c>
      <c r="FC55" s="2275">
        <v>6113</v>
      </c>
      <c r="FD55" s="2608">
        <v>5961</v>
      </c>
      <c r="FE55" s="2609">
        <v>4733</v>
      </c>
      <c r="FF55" s="2609">
        <v>2174</v>
      </c>
      <c r="FG55" s="2609">
        <v>32</v>
      </c>
      <c r="FH55" s="2609">
        <v>56</v>
      </c>
      <c r="FI55" s="2609">
        <v>99</v>
      </c>
      <c r="FJ55" s="2609">
        <v>201</v>
      </c>
      <c r="FK55" s="2609">
        <v>218</v>
      </c>
      <c r="FL55" s="2609">
        <v>423</v>
      </c>
      <c r="FM55" s="2609">
        <v>1349</v>
      </c>
      <c r="FN55" s="2609">
        <v>1549</v>
      </c>
      <c r="FO55" s="2610">
        <v>1964</v>
      </c>
      <c r="FP55" s="2608">
        <v>2113</v>
      </c>
      <c r="FQ55" s="2609">
        <v>1427</v>
      </c>
      <c r="FR55" s="2609">
        <v>1870</v>
      </c>
      <c r="FS55" s="2609">
        <v>1489</v>
      </c>
      <c r="FT55" s="2609">
        <v>1774</v>
      </c>
      <c r="FU55" s="2609"/>
      <c r="FV55" s="2609"/>
      <c r="FW55" s="2609"/>
      <c r="FX55" s="2609"/>
      <c r="FY55" s="2609"/>
      <c r="FZ55" s="2609"/>
      <c r="GA55" s="2614"/>
      <c r="GB55" s="2607"/>
      <c r="GC55" s="2754">
        <v>10706</v>
      </c>
      <c r="GD55" s="2755">
        <v>11631</v>
      </c>
      <c r="GE55" s="2755">
        <v>12377</v>
      </c>
      <c r="GF55" s="2756">
        <v>12334</v>
      </c>
      <c r="GG55" s="2757">
        <v>13356</v>
      </c>
      <c r="GH55" s="2758">
        <v>12228</v>
      </c>
      <c r="GI55" s="2758">
        <v>12720</v>
      </c>
      <c r="GJ55" s="2759">
        <v>13802</v>
      </c>
      <c r="GK55" s="2760">
        <v>10328</v>
      </c>
      <c r="GL55" s="2761">
        <v>11580</v>
      </c>
      <c r="GM55" s="2762">
        <v>10032</v>
      </c>
      <c r="GN55" s="2762">
        <v>11490</v>
      </c>
      <c r="GO55" s="2763">
        <v>13823</v>
      </c>
      <c r="GP55" s="2764">
        <v>12604</v>
      </c>
      <c r="GQ55" s="2764">
        <v>12216</v>
      </c>
      <c r="GR55" s="2765">
        <v>12769</v>
      </c>
      <c r="GS55" s="2766">
        <v>12917</v>
      </c>
      <c r="GT55" s="2767">
        <v>12727</v>
      </c>
      <c r="GU55" s="2767">
        <v>12404</v>
      </c>
      <c r="GV55" s="2768">
        <v>14061</v>
      </c>
      <c r="GW55" s="2764">
        <v>12931</v>
      </c>
      <c r="GX55" s="2764">
        <v>18088</v>
      </c>
      <c r="GY55" s="2764">
        <v>16833</v>
      </c>
      <c r="GZ55" s="2764">
        <v>19614</v>
      </c>
      <c r="HA55" s="2769">
        <v>17382</v>
      </c>
      <c r="HB55" s="2769">
        <v>16391</v>
      </c>
      <c r="HC55" s="2769">
        <v>16046</v>
      </c>
      <c r="HD55" s="2769">
        <v>17914</v>
      </c>
      <c r="HE55" s="2770">
        <v>17306</v>
      </c>
      <c r="HF55" s="2770">
        <v>18127</v>
      </c>
      <c r="HG55" s="2770">
        <f t="shared" si="17"/>
        <v>16328</v>
      </c>
      <c r="HH55" s="2770">
        <v>19661</v>
      </c>
      <c r="HI55" s="2771">
        <v>17324</v>
      </c>
      <c r="HJ55" s="2771">
        <f t="shared" si="18"/>
        <v>13887</v>
      </c>
      <c r="HK55" s="2771">
        <f t="shared" si="19"/>
        <v>12379</v>
      </c>
      <c r="HL55" s="2770">
        <f t="shared" si="20"/>
        <v>13298</v>
      </c>
      <c r="HM55" s="2689">
        <f t="shared" si="21"/>
        <v>12480</v>
      </c>
      <c r="HN55" s="2689">
        <f t="shared" si="22"/>
        <v>12001</v>
      </c>
      <c r="HO55" s="2689">
        <f t="shared" si="23"/>
        <v>15824</v>
      </c>
      <c r="HP55" s="2689">
        <f t="shared" si="24"/>
        <v>16605</v>
      </c>
      <c r="HQ55" s="2764">
        <f t="shared" si="25"/>
        <v>14376</v>
      </c>
      <c r="HR55" s="2764">
        <f t="shared" si="26"/>
        <v>14347</v>
      </c>
      <c r="HS55" s="2764">
        <f t="shared" si="27"/>
        <v>12108</v>
      </c>
      <c r="HT55" s="2764">
        <f t="shared" si="28"/>
        <v>14454</v>
      </c>
      <c r="HU55" s="2772">
        <f t="shared" si="29"/>
        <v>12985</v>
      </c>
      <c r="HV55" s="2769">
        <f t="shared" si="30"/>
        <v>13949</v>
      </c>
      <c r="HW55" s="2769">
        <f t="shared" si="31"/>
        <v>13570</v>
      </c>
      <c r="HX55" s="2769">
        <f t="shared" si="32"/>
        <v>14802</v>
      </c>
      <c r="HY55" s="2773">
        <f t="shared" si="33"/>
        <v>12081</v>
      </c>
      <c r="HZ55" s="2774">
        <f t="shared" si="34"/>
        <v>14589</v>
      </c>
      <c r="IA55" s="2774">
        <f t="shared" si="35"/>
        <v>15229</v>
      </c>
      <c r="IB55" s="2774">
        <f t="shared" si="36"/>
        <v>15768</v>
      </c>
      <c r="IC55" s="2775">
        <f t="shared" si="47"/>
        <v>12868</v>
      </c>
      <c r="ID55" s="2776">
        <f t="shared" si="48"/>
        <v>187</v>
      </c>
      <c r="IE55" s="2776">
        <f t="shared" si="49"/>
        <v>15229</v>
      </c>
      <c r="IF55" s="2777">
        <f t="shared" si="50"/>
        <v>4862</v>
      </c>
      <c r="IG55" s="2772">
        <f t="shared" si="51"/>
        <v>5410</v>
      </c>
      <c r="IH55" s="2769">
        <f t="shared" si="52"/>
        <v>3263</v>
      </c>
      <c r="II55" s="2769">
        <f t="shared" si="53"/>
        <v>0</v>
      </c>
      <c r="IJ55" s="2769">
        <f t="shared" si="54"/>
        <v>0</v>
      </c>
      <c r="IK55" s="2578"/>
      <c r="IL55" s="3358">
        <v>47048</v>
      </c>
      <c r="IM55" s="3359">
        <v>52106</v>
      </c>
      <c r="IN55" s="3359">
        <v>43430</v>
      </c>
      <c r="IO55" s="3359">
        <v>51412</v>
      </c>
      <c r="IP55" s="3359">
        <v>52109</v>
      </c>
      <c r="IQ55" s="3359">
        <v>67466</v>
      </c>
      <c r="IR55" s="3360">
        <v>67733</v>
      </c>
      <c r="IS55" s="3361">
        <v>71422</v>
      </c>
      <c r="IT55" s="3361">
        <f t="shared" si="37"/>
        <v>56888</v>
      </c>
      <c r="IU55" s="3361">
        <f t="shared" si="38"/>
        <v>55160</v>
      </c>
      <c r="IV55" s="3361">
        <f t="shared" si="39"/>
        <v>55285</v>
      </c>
      <c r="IW55" s="3361">
        <f t="shared" si="40"/>
        <v>55306</v>
      </c>
      <c r="IX55" s="3362">
        <f t="shared" si="55"/>
        <v>57667</v>
      </c>
      <c r="IY55" s="3380">
        <f t="shared" si="41"/>
        <v>18759</v>
      </c>
      <c r="IZ55" s="3378">
        <f t="shared" ref="IZ55:IZ84" si="57">SUM(FF55:FQ55)</f>
        <v>11605</v>
      </c>
      <c r="JA55" s="3579">
        <f t="shared" ref="JA55:JA84" si="58">SUM(FP55:GA55)</f>
        <v>8673</v>
      </c>
      <c r="JC55" s="3365">
        <f t="shared" ref="JC55:JC86" si="59">AVERAGE(IY55:IZ55)</f>
        <v>15182</v>
      </c>
      <c r="JD55" s="3366">
        <f t="shared" si="42"/>
        <v>8.7886735093829771E-2</v>
      </c>
      <c r="JE55" s="3366">
        <f t="shared" si="43"/>
        <v>8.4672040384052835E-2</v>
      </c>
      <c r="JF55" s="3366">
        <f t="shared" ref="JF55:JF83" si="60">IW55/$IX$86</f>
        <v>8.0810648899019566E-2</v>
      </c>
      <c r="JG55" s="3366">
        <f t="shared" si="56"/>
        <v>8.4260436300939517E-2</v>
      </c>
      <c r="JH55" s="3366">
        <f t="shared" ref="JH55:JH85" si="61">IY55/$IY$86</f>
        <v>9.8515363649254006E-2</v>
      </c>
      <c r="JI55" s="3379">
        <f t="shared" ref="JI55:JI85" si="62">IZ55/$IZ$86</f>
        <v>4.1299520277868727E-2</v>
      </c>
      <c r="JJ55" s="3366"/>
      <c r="JK55" s="3368">
        <f t="shared" si="44"/>
        <v>2.266134880348103E-3</v>
      </c>
      <c r="JL55" s="3369">
        <f t="shared" si="45"/>
        <v>-0.72476432197244378</v>
      </c>
      <c r="JM55" s="3369">
        <f t="shared" si="46"/>
        <v>3.7984986886141492E-4</v>
      </c>
      <c r="JN55" s="3369">
        <f t="shared" si="46"/>
        <v>4.2689762412758014E-2</v>
      </c>
      <c r="JO55" s="3369">
        <f t="shared" si="46"/>
        <v>-0.67470130230461089</v>
      </c>
      <c r="JP55" s="3370">
        <f t="shared" ref="JP55:JP86" si="63">IZ55/IX55-1</f>
        <v>-0.79875838867983417</v>
      </c>
      <c r="JQ55" s="3371">
        <f t="shared" ref="JQ55:JQ83" si="64">IF(IY55="","",IZ55/IY55-1)</f>
        <v>-0.38136361213284287</v>
      </c>
      <c r="JS55" s="3045"/>
      <c r="JT55" s="3045"/>
      <c r="JU55" s="3045"/>
      <c r="JV55" s="3045"/>
      <c r="JW55" s="3045"/>
      <c r="JX55" s="3045"/>
      <c r="JY55" s="3045"/>
      <c r="JZ55" s="3045"/>
      <c r="KA55" s="3045"/>
      <c r="KB55" s="3045"/>
      <c r="KC55" s="3045"/>
      <c r="KD55" s="3045"/>
      <c r="KE55" s="3045"/>
      <c r="KF55" s="3045"/>
      <c r="KG55" s="3045"/>
      <c r="KH55" s="3045"/>
      <c r="KI55" s="3045"/>
      <c r="KJ55" s="3045"/>
      <c r="KK55" s="3045"/>
      <c r="KL55" s="3045"/>
      <c r="KM55" s="3045"/>
      <c r="KN55" s="3045"/>
      <c r="KO55" s="3045"/>
    </row>
    <row r="56" spans="1:301" ht="21.9" customHeight="1">
      <c r="A56" s="3372"/>
      <c r="B56" s="3045"/>
      <c r="C56" s="3373" t="s">
        <v>7</v>
      </c>
      <c r="D56" s="3330">
        <v>1324</v>
      </c>
      <c r="E56" s="3331">
        <v>1555</v>
      </c>
      <c r="F56" s="3331">
        <v>1410</v>
      </c>
      <c r="G56" s="3331">
        <v>1429</v>
      </c>
      <c r="H56" s="3331">
        <v>1418</v>
      </c>
      <c r="I56" s="3331">
        <v>2607</v>
      </c>
      <c r="J56" s="3331">
        <v>2835</v>
      </c>
      <c r="K56" s="3331">
        <v>2685</v>
      </c>
      <c r="L56" s="3331">
        <v>2112</v>
      </c>
      <c r="M56" s="3331">
        <v>1839</v>
      </c>
      <c r="N56" s="3331">
        <v>2329</v>
      </c>
      <c r="O56" s="3332">
        <v>2088</v>
      </c>
      <c r="P56" s="3333">
        <v>1837</v>
      </c>
      <c r="Q56" s="3334">
        <v>2639</v>
      </c>
      <c r="R56" s="3334">
        <v>1865</v>
      </c>
      <c r="S56" s="3334">
        <v>1646</v>
      </c>
      <c r="T56" s="3334">
        <v>2039</v>
      </c>
      <c r="U56" s="3334">
        <v>3303</v>
      </c>
      <c r="V56" s="3334">
        <v>2996</v>
      </c>
      <c r="W56" s="3334">
        <v>3169</v>
      </c>
      <c r="X56" s="3334">
        <v>2100</v>
      </c>
      <c r="Y56" s="3334">
        <v>1903</v>
      </c>
      <c r="Z56" s="3334">
        <v>2662</v>
      </c>
      <c r="AA56" s="3335">
        <v>1902</v>
      </c>
      <c r="AB56" s="3336">
        <v>2189</v>
      </c>
      <c r="AC56" s="3337">
        <v>2306</v>
      </c>
      <c r="AD56" s="3337">
        <v>2100</v>
      </c>
      <c r="AE56" s="3337">
        <v>2003</v>
      </c>
      <c r="AF56" s="3337">
        <v>3328</v>
      </c>
      <c r="AG56" s="3337">
        <v>4653</v>
      </c>
      <c r="AH56" s="3337">
        <v>3137</v>
      </c>
      <c r="AI56" s="3337">
        <v>3497</v>
      </c>
      <c r="AJ56" s="3337">
        <v>2351</v>
      </c>
      <c r="AK56" s="3337">
        <v>2125</v>
      </c>
      <c r="AL56" s="3337">
        <v>2575</v>
      </c>
      <c r="AM56" s="3338">
        <v>2250</v>
      </c>
      <c r="AN56" s="3339">
        <v>2074</v>
      </c>
      <c r="AO56" s="3340">
        <v>2222</v>
      </c>
      <c r="AP56" s="3340">
        <v>2157</v>
      </c>
      <c r="AQ56" s="3340">
        <v>1650</v>
      </c>
      <c r="AR56" s="3340">
        <v>2169</v>
      </c>
      <c r="AS56" s="3340">
        <v>4211</v>
      </c>
      <c r="AT56" s="3340">
        <v>3416</v>
      </c>
      <c r="AU56" s="3340">
        <v>3730</v>
      </c>
      <c r="AV56" s="3340">
        <v>2638</v>
      </c>
      <c r="AW56" s="3340">
        <v>2451</v>
      </c>
      <c r="AX56" s="3340">
        <v>2709</v>
      </c>
      <c r="AY56" s="3341">
        <v>2407</v>
      </c>
      <c r="AZ56" s="3277">
        <v>2245</v>
      </c>
      <c r="BA56" s="3277">
        <v>2360</v>
      </c>
      <c r="BB56" s="3277">
        <v>1994</v>
      </c>
      <c r="BC56" s="3277">
        <v>2054</v>
      </c>
      <c r="BD56" s="3277">
        <v>1974</v>
      </c>
      <c r="BE56" s="3277">
        <v>4580</v>
      </c>
      <c r="BF56" s="3277">
        <v>3668</v>
      </c>
      <c r="BG56" s="3277">
        <v>3797</v>
      </c>
      <c r="BH56" s="3277">
        <v>2808</v>
      </c>
      <c r="BI56" s="3277">
        <v>2386</v>
      </c>
      <c r="BJ56" s="3277">
        <v>2699</v>
      </c>
      <c r="BK56" s="3374">
        <v>2363</v>
      </c>
      <c r="BL56" s="3344">
        <v>2062</v>
      </c>
      <c r="BM56" s="3345">
        <v>2453</v>
      </c>
      <c r="BN56" s="3345">
        <v>2219</v>
      </c>
      <c r="BO56" s="3345">
        <v>2379</v>
      </c>
      <c r="BP56" s="3345">
        <v>2483</v>
      </c>
      <c r="BQ56" s="3345">
        <v>4629</v>
      </c>
      <c r="BR56" s="3345">
        <v>3352</v>
      </c>
      <c r="BS56" s="3345">
        <v>3785</v>
      </c>
      <c r="BT56" s="3346">
        <v>3170</v>
      </c>
      <c r="BU56" s="3346">
        <v>2516</v>
      </c>
      <c r="BV56" s="3346">
        <v>2627</v>
      </c>
      <c r="BW56" s="3347">
        <v>2343</v>
      </c>
      <c r="BX56" s="3348">
        <v>2275</v>
      </c>
      <c r="BY56" s="3273">
        <v>2408</v>
      </c>
      <c r="BZ56" s="3273">
        <v>2259</v>
      </c>
      <c r="CA56" s="3273">
        <v>2051</v>
      </c>
      <c r="CB56" s="3273">
        <v>2962</v>
      </c>
      <c r="CC56" s="3273">
        <v>4633</v>
      </c>
      <c r="CD56" s="3273">
        <v>3650</v>
      </c>
      <c r="CE56" s="3273">
        <v>3942</v>
      </c>
      <c r="CF56" s="3273">
        <v>3578</v>
      </c>
      <c r="CG56" s="3273">
        <v>2866</v>
      </c>
      <c r="CH56" s="3273">
        <v>3622</v>
      </c>
      <c r="CI56" s="3275">
        <v>3262</v>
      </c>
      <c r="CJ56" s="3349">
        <v>4693</v>
      </c>
      <c r="CK56" s="3350">
        <v>3329</v>
      </c>
      <c r="CL56" s="3350">
        <v>3172</v>
      </c>
      <c r="CM56" s="3350">
        <v>2855</v>
      </c>
      <c r="CN56" s="3350">
        <v>3070</v>
      </c>
      <c r="CO56" s="3350">
        <v>1437</v>
      </c>
      <c r="CP56" s="3350">
        <v>4812</v>
      </c>
      <c r="CQ56" s="3350">
        <v>4547</v>
      </c>
      <c r="CR56" s="3350">
        <v>3616</v>
      </c>
      <c r="CS56" s="3350">
        <v>3498</v>
      </c>
      <c r="CT56" s="3350">
        <v>3618</v>
      </c>
      <c r="CU56" s="3351">
        <v>3484</v>
      </c>
      <c r="CV56" s="3349">
        <v>3113</v>
      </c>
      <c r="CW56" s="3350">
        <v>3325</v>
      </c>
      <c r="CX56" s="3272">
        <v>3195</v>
      </c>
      <c r="CY56" s="3272">
        <v>2623</v>
      </c>
      <c r="CZ56" s="3272">
        <v>3137</v>
      </c>
      <c r="DA56" s="3272">
        <v>5235</v>
      </c>
      <c r="DB56" s="3272">
        <v>4766</v>
      </c>
      <c r="DC56" s="3272">
        <v>4153</v>
      </c>
      <c r="DD56" s="3272">
        <v>3633</v>
      </c>
      <c r="DE56" s="3272">
        <v>3383</v>
      </c>
      <c r="DF56" s="3272">
        <v>3320</v>
      </c>
      <c r="DG56" s="3351">
        <v>3878</v>
      </c>
      <c r="DH56" s="3352">
        <v>2964</v>
      </c>
      <c r="DI56" s="3353">
        <v>3137</v>
      </c>
      <c r="DJ56" s="3353">
        <v>3077</v>
      </c>
      <c r="DK56" s="3354">
        <v>2577</v>
      </c>
      <c r="DL56" s="3354">
        <v>2847</v>
      </c>
      <c r="DM56" s="3354">
        <v>5765</v>
      </c>
      <c r="DN56" s="3354">
        <v>4826</v>
      </c>
      <c r="DO56" s="3354">
        <v>4045</v>
      </c>
      <c r="DP56" s="2556">
        <v>2741</v>
      </c>
      <c r="DQ56" s="3354">
        <v>2404</v>
      </c>
      <c r="DR56" s="3354">
        <v>2367</v>
      </c>
      <c r="DS56" s="3355">
        <v>2423</v>
      </c>
      <c r="DT56" s="3356">
        <v>1937</v>
      </c>
      <c r="DU56" s="3243">
        <v>1872</v>
      </c>
      <c r="DV56" s="3243">
        <v>1901</v>
      </c>
      <c r="DW56" s="3164">
        <v>2061</v>
      </c>
      <c r="DX56" s="3164">
        <v>1740</v>
      </c>
      <c r="DY56" s="3164">
        <v>3360</v>
      </c>
      <c r="DZ56" s="3164">
        <v>2960</v>
      </c>
      <c r="EA56" s="3164">
        <v>2392</v>
      </c>
      <c r="EB56" s="3164">
        <v>2217</v>
      </c>
      <c r="EC56" s="3164">
        <v>2173</v>
      </c>
      <c r="ED56" s="3164">
        <v>2397</v>
      </c>
      <c r="EE56" s="3163">
        <v>2655</v>
      </c>
      <c r="EF56" s="2532">
        <v>2327</v>
      </c>
      <c r="EG56" s="2531">
        <v>2245</v>
      </c>
      <c r="EH56" s="2531">
        <v>2500</v>
      </c>
      <c r="EI56" s="2531">
        <v>2062</v>
      </c>
      <c r="EJ56" s="2531">
        <v>2145</v>
      </c>
      <c r="EK56" s="2531">
        <v>3948</v>
      </c>
      <c r="EL56" s="2531">
        <v>3670</v>
      </c>
      <c r="EM56" s="2557">
        <v>3213</v>
      </c>
      <c r="EN56" s="2557">
        <v>2579</v>
      </c>
      <c r="EO56" s="2558">
        <v>2489</v>
      </c>
      <c r="EP56" s="2558">
        <v>2626</v>
      </c>
      <c r="EQ56" s="2559">
        <v>2981</v>
      </c>
      <c r="ER56" s="1320">
        <v>1985</v>
      </c>
      <c r="ES56" s="3357">
        <v>2280</v>
      </c>
      <c r="ET56" s="3357">
        <v>2141</v>
      </c>
      <c r="EU56" s="2560">
        <v>2248</v>
      </c>
      <c r="EV56" s="2104">
        <v>4117</v>
      </c>
      <c r="EW56" s="2104">
        <v>7279</v>
      </c>
      <c r="EX56" s="2104">
        <v>8646</v>
      </c>
      <c r="EY56" s="2104">
        <v>7778</v>
      </c>
      <c r="EZ56" s="2104">
        <v>6031</v>
      </c>
      <c r="FA56" s="2275">
        <v>4476</v>
      </c>
      <c r="FB56" s="2275">
        <v>5469</v>
      </c>
      <c r="FC56" s="2275">
        <v>7951</v>
      </c>
      <c r="FD56" s="2615">
        <v>4895</v>
      </c>
      <c r="FE56" s="2616">
        <v>5061</v>
      </c>
      <c r="FF56" s="2616">
        <v>1744</v>
      </c>
      <c r="FG56" s="2616">
        <v>42</v>
      </c>
      <c r="FH56" s="2616">
        <v>49</v>
      </c>
      <c r="FI56" s="2616">
        <v>94</v>
      </c>
      <c r="FJ56" s="2616">
        <v>976</v>
      </c>
      <c r="FK56" s="2616">
        <v>912</v>
      </c>
      <c r="FL56" s="2616">
        <v>1188</v>
      </c>
      <c r="FM56" s="2616">
        <v>1364</v>
      </c>
      <c r="FN56" s="2616">
        <v>1646</v>
      </c>
      <c r="FO56" s="2617">
        <v>2750</v>
      </c>
      <c r="FP56" s="2615">
        <v>2113</v>
      </c>
      <c r="FQ56" s="2616">
        <v>1570</v>
      </c>
      <c r="FR56" s="2616">
        <v>2019</v>
      </c>
      <c r="FS56" s="2616">
        <v>1576</v>
      </c>
      <c r="FT56" s="2616">
        <v>1610</v>
      </c>
      <c r="FU56" s="2616"/>
      <c r="FV56" s="2616"/>
      <c r="FW56" s="2616"/>
      <c r="FX56" s="2616"/>
      <c r="FY56" s="2616"/>
      <c r="FZ56" s="2616"/>
      <c r="GA56" s="2618"/>
      <c r="GB56" s="2607"/>
      <c r="GC56" s="2754">
        <v>4289</v>
      </c>
      <c r="GD56" s="2755">
        <v>5454</v>
      </c>
      <c r="GE56" s="2755">
        <v>7632</v>
      </c>
      <c r="GF56" s="2756">
        <v>6256</v>
      </c>
      <c r="GG56" s="2757">
        <v>6341</v>
      </c>
      <c r="GH56" s="2758">
        <v>6988</v>
      </c>
      <c r="GI56" s="2758">
        <v>8265</v>
      </c>
      <c r="GJ56" s="2759">
        <v>6467</v>
      </c>
      <c r="GK56" s="2760">
        <v>6595</v>
      </c>
      <c r="GL56" s="2761">
        <v>9984</v>
      </c>
      <c r="GM56" s="2762">
        <v>8985</v>
      </c>
      <c r="GN56" s="2762">
        <v>6950</v>
      </c>
      <c r="GO56" s="2763">
        <v>6453</v>
      </c>
      <c r="GP56" s="2764">
        <v>8030</v>
      </c>
      <c r="GQ56" s="2764">
        <v>9784</v>
      </c>
      <c r="GR56" s="2765">
        <v>7567</v>
      </c>
      <c r="GS56" s="2766">
        <v>6599</v>
      </c>
      <c r="GT56" s="2767">
        <v>8608</v>
      </c>
      <c r="GU56" s="2767">
        <v>10273</v>
      </c>
      <c r="GV56" s="2768">
        <v>7448</v>
      </c>
      <c r="GW56" s="2764">
        <v>6734</v>
      </c>
      <c r="GX56" s="2764">
        <v>9491</v>
      </c>
      <c r="GY56" s="2764">
        <v>10307</v>
      </c>
      <c r="GZ56" s="2764">
        <v>7486</v>
      </c>
      <c r="HA56" s="2769">
        <v>6942</v>
      </c>
      <c r="HB56" s="2769">
        <v>9646</v>
      </c>
      <c r="HC56" s="2769">
        <v>11170</v>
      </c>
      <c r="HD56" s="2769">
        <v>9750</v>
      </c>
      <c r="HE56" s="2770">
        <v>11194</v>
      </c>
      <c r="HF56" s="2770">
        <v>7362</v>
      </c>
      <c r="HG56" s="2770">
        <f t="shared" si="17"/>
        <v>12975</v>
      </c>
      <c r="HH56" s="2770">
        <v>10600</v>
      </c>
      <c r="HI56" s="2771">
        <v>9633</v>
      </c>
      <c r="HJ56" s="2771">
        <f t="shared" si="18"/>
        <v>10995</v>
      </c>
      <c r="HK56" s="2771">
        <f t="shared" si="19"/>
        <v>12552</v>
      </c>
      <c r="HL56" s="2770">
        <f t="shared" si="20"/>
        <v>10581</v>
      </c>
      <c r="HM56" s="2689">
        <f t="shared" si="21"/>
        <v>9178</v>
      </c>
      <c r="HN56" s="2689">
        <f t="shared" si="22"/>
        <v>11189</v>
      </c>
      <c r="HO56" s="2689">
        <f t="shared" si="23"/>
        <v>11294</v>
      </c>
      <c r="HP56" s="2689">
        <f t="shared" si="24"/>
        <v>7194</v>
      </c>
      <c r="HQ56" s="2764">
        <f t="shared" si="25"/>
        <v>5710</v>
      </c>
      <c r="HR56" s="2764">
        <f t="shared" si="26"/>
        <v>7161</v>
      </c>
      <c r="HS56" s="2764">
        <f t="shared" si="27"/>
        <v>7569</v>
      </c>
      <c r="HT56" s="2764">
        <f t="shared" si="28"/>
        <v>7225</v>
      </c>
      <c r="HU56" s="2772">
        <f t="shared" si="29"/>
        <v>7072</v>
      </c>
      <c r="HV56" s="2769">
        <f t="shared" si="30"/>
        <v>8155</v>
      </c>
      <c r="HW56" s="2769">
        <f t="shared" si="31"/>
        <v>9462</v>
      </c>
      <c r="HX56" s="2769">
        <f t="shared" si="32"/>
        <v>8096</v>
      </c>
      <c r="HY56" s="2773">
        <f t="shared" si="33"/>
        <v>6406</v>
      </c>
      <c r="HZ56" s="2774">
        <f t="shared" si="34"/>
        <v>13644</v>
      </c>
      <c r="IA56" s="2774">
        <f t="shared" si="35"/>
        <v>22455</v>
      </c>
      <c r="IB56" s="2774">
        <f t="shared" si="36"/>
        <v>17896</v>
      </c>
      <c r="IC56" s="2775">
        <f t="shared" si="47"/>
        <v>11700</v>
      </c>
      <c r="ID56" s="2776">
        <f t="shared" si="48"/>
        <v>185</v>
      </c>
      <c r="IE56" s="2776">
        <f t="shared" si="49"/>
        <v>22455</v>
      </c>
      <c r="IF56" s="2777">
        <f t="shared" si="50"/>
        <v>5760</v>
      </c>
      <c r="IG56" s="2772">
        <f t="shared" si="51"/>
        <v>5702</v>
      </c>
      <c r="IH56" s="2769">
        <f t="shared" si="52"/>
        <v>3186</v>
      </c>
      <c r="II56" s="2769">
        <f t="shared" si="53"/>
        <v>0</v>
      </c>
      <c r="IJ56" s="2769">
        <f t="shared" si="54"/>
        <v>0</v>
      </c>
      <c r="IK56" s="2578"/>
      <c r="IL56" s="3358">
        <v>23631</v>
      </c>
      <c r="IM56" s="3359">
        <v>28061</v>
      </c>
      <c r="IN56" s="3359">
        <v>32514</v>
      </c>
      <c r="IO56" s="3359">
        <v>31834</v>
      </c>
      <c r="IP56" s="3359">
        <v>32928</v>
      </c>
      <c r="IQ56" s="3359">
        <v>34018</v>
      </c>
      <c r="IR56" s="3360">
        <v>37508</v>
      </c>
      <c r="IS56" s="3361">
        <v>42131</v>
      </c>
      <c r="IT56" s="3361">
        <f t="shared" si="37"/>
        <v>43761</v>
      </c>
      <c r="IU56" s="3361">
        <f t="shared" si="38"/>
        <v>39173</v>
      </c>
      <c r="IV56" s="3361">
        <f t="shared" si="39"/>
        <v>27665</v>
      </c>
      <c r="IW56" s="3361">
        <f t="shared" si="40"/>
        <v>32785</v>
      </c>
      <c r="IX56" s="3362">
        <f t="shared" si="55"/>
        <v>60401</v>
      </c>
      <c r="IY56" s="3380">
        <f t="shared" si="41"/>
        <v>20721</v>
      </c>
      <c r="IZ56" s="3378">
        <f t="shared" si="57"/>
        <v>14448</v>
      </c>
      <c r="JA56" s="3579">
        <f t="shared" si="58"/>
        <v>8888</v>
      </c>
      <c r="JC56" s="3365">
        <f t="shared" si="59"/>
        <v>17584.5</v>
      </c>
      <c r="JD56" s="3366">
        <f t="shared" si="42"/>
        <v>6.2414558988952019E-2</v>
      </c>
      <c r="JE56" s="3366">
        <f t="shared" si="43"/>
        <v>4.2370480188565103E-2</v>
      </c>
      <c r="JF56" s="3366">
        <f t="shared" si="60"/>
        <v>4.790397288095969E-2</v>
      </c>
      <c r="JG56" s="3366">
        <f t="shared" si="56"/>
        <v>8.8255234588465639E-2</v>
      </c>
      <c r="JH56" s="3366">
        <f t="shared" si="61"/>
        <v>0.10881906552461178</v>
      </c>
      <c r="JI56" s="3379">
        <f t="shared" si="62"/>
        <v>5.1417102022804598E-2</v>
      </c>
      <c r="JJ56" s="3366"/>
      <c r="JK56" s="3368">
        <f t="shared" si="44"/>
        <v>-0.29377377275164018</v>
      </c>
      <c r="JL56" s="3369">
        <f t="shared" si="45"/>
        <v>-0.55110662956628298</v>
      </c>
      <c r="JM56" s="3369">
        <f t="shared" si="46"/>
        <v>0.18507138984276161</v>
      </c>
      <c r="JN56" s="3369">
        <f t="shared" si="46"/>
        <v>0.84233643434497485</v>
      </c>
      <c r="JO56" s="3369">
        <f t="shared" si="46"/>
        <v>-0.65694276584824762</v>
      </c>
      <c r="JP56" s="3370">
        <f t="shared" si="63"/>
        <v>-0.76079866227380344</v>
      </c>
      <c r="JQ56" s="3371">
        <f t="shared" si="64"/>
        <v>-0.30273635442304903</v>
      </c>
      <c r="JS56" s="3045"/>
      <c r="JT56" s="3045"/>
      <c r="JU56" s="3045"/>
      <c r="JV56" s="3045"/>
      <c r="JW56" s="3045"/>
      <c r="JX56" s="3045"/>
      <c r="JY56" s="3045"/>
      <c r="JZ56" s="3045"/>
      <c r="KA56" s="3045"/>
      <c r="KB56" s="3045"/>
      <c r="KC56" s="3045"/>
      <c r="KD56" s="3045"/>
      <c r="KE56" s="3045"/>
      <c r="KF56" s="3045"/>
      <c r="KG56" s="3045"/>
      <c r="KH56" s="3045"/>
      <c r="KI56" s="3045"/>
      <c r="KJ56" s="3045"/>
      <c r="KK56" s="3045"/>
      <c r="KL56" s="3045"/>
      <c r="KM56" s="3045"/>
      <c r="KN56" s="3045"/>
      <c r="KO56" s="3045"/>
    </row>
    <row r="57" spans="1:301" ht="24" customHeight="1">
      <c r="A57" s="3372"/>
      <c r="B57" s="3045"/>
      <c r="C57" s="3373" t="s">
        <v>15</v>
      </c>
      <c r="D57" s="3330">
        <v>342</v>
      </c>
      <c r="E57" s="3331">
        <v>325</v>
      </c>
      <c r="F57" s="3331">
        <v>440</v>
      </c>
      <c r="G57" s="3331">
        <v>392</v>
      </c>
      <c r="H57" s="3331">
        <v>377</v>
      </c>
      <c r="I57" s="3331">
        <v>432</v>
      </c>
      <c r="J57" s="3331">
        <v>744</v>
      </c>
      <c r="K57" s="3331">
        <v>705</v>
      </c>
      <c r="L57" s="3331">
        <v>586</v>
      </c>
      <c r="M57" s="3331">
        <v>717</v>
      </c>
      <c r="N57" s="3331">
        <v>686</v>
      </c>
      <c r="O57" s="3332">
        <v>372</v>
      </c>
      <c r="P57" s="3333">
        <v>410</v>
      </c>
      <c r="Q57" s="3334">
        <v>574</v>
      </c>
      <c r="R57" s="3334">
        <v>487</v>
      </c>
      <c r="S57" s="3334">
        <v>479</v>
      </c>
      <c r="T57" s="3334">
        <v>793</v>
      </c>
      <c r="U57" s="3334">
        <v>734</v>
      </c>
      <c r="V57" s="3334">
        <v>771</v>
      </c>
      <c r="W57" s="3334">
        <v>700</v>
      </c>
      <c r="X57" s="3334">
        <v>748</v>
      </c>
      <c r="Y57" s="3334">
        <v>982</v>
      </c>
      <c r="Z57" s="3334">
        <v>878</v>
      </c>
      <c r="AA57" s="3335">
        <v>637</v>
      </c>
      <c r="AB57" s="3336">
        <v>523</v>
      </c>
      <c r="AC57" s="3337">
        <v>468</v>
      </c>
      <c r="AD57" s="3337">
        <v>576</v>
      </c>
      <c r="AE57" s="3337">
        <v>748</v>
      </c>
      <c r="AF57" s="3337">
        <v>686.5</v>
      </c>
      <c r="AG57" s="3337">
        <v>625</v>
      </c>
      <c r="AH57" s="3337">
        <v>812</v>
      </c>
      <c r="AI57" s="3337">
        <v>649</v>
      </c>
      <c r="AJ57" s="3337">
        <v>789</v>
      </c>
      <c r="AK57" s="3337">
        <v>775</v>
      </c>
      <c r="AL57" s="3337">
        <v>715</v>
      </c>
      <c r="AM57" s="3338">
        <v>854</v>
      </c>
      <c r="AN57" s="3339">
        <v>597</v>
      </c>
      <c r="AO57" s="3340">
        <v>512</v>
      </c>
      <c r="AP57" s="3340">
        <v>746</v>
      </c>
      <c r="AQ57" s="3340">
        <v>803</v>
      </c>
      <c r="AR57" s="3340">
        <v>767</v>
      </c>
      <c r="AS57" s="3340">
        <v>836</v>
      </c>
      <c r="AT57" s="3340">
        <v>966</v>
      </c>
      <c r="AU57" s="3340">
        <v>923</v>
      </c>
      <c r="AV57" s="3340">
        <v>647</v>
      </c>
      <c r="AW57" s="3340">
        <v>940</v>
      </c>
      <c r="AX57" s="3340">
        <v>839</v>
      </c>
      <c r="AY57" s="3341">
        <v>742</v>
      </c>
      <c r="AZ57" s="3277">
        <v>640</v>
      </c>
      <c r="BA57" s="3277">
        <v>651</v>
      </c>
      <c r="BB57" s="3277">
        <v>859</v>
      </c>
      <c r="BC57" s="3277">
        <v>1037</v>
      </c>
      <c r="BD57" s="3277">
        <v>1051</v>
      </c>
      <c r="BE57" s="3277">
        <v>1180</v>
      </c>
      <c r="BF57" s="3277">
        <v>1219</v>
      </c>
      <c r="BG57" s="3277">
        <v>1102</v>
      </c>
      <c r="BH57" s="3277">
        <v>841</v>
      </c>
      <c r="BI57" s="3277">
        <v>1028</v>
      </c>
      <c r="BJ57" s="3277">
        <v>1132</v>
      </c>
      <c r="BK57" s="3374">
        <v>930</v>
      </c>
      <c r="BL57" s="3344">
        <v>131</v>
      </c>
      <c r="BM57" s="3345">
        <v>779</v>
      </c>
      <c r="BN57" s="3345">
        <v>894</v>
      </c>
      <c r="BO57" s="3345">
        <v>942</v>
      </c>
      <c r="BP57" s="3345">
        <v>1059</v>
      </c>
      <c r="BQ57" s="3345">
        <v>1016</v>
      </c>
      <c r="BR57" s="3345">
        <v>1165</v>
      </c>
      <c r="BS57" s="3345">
        <v>913</v>
      </c>
      <c r="BT57" s="3346">
        <v>955</v>
      </c>
      <c r="BU57" s="3346">
        <v>1191</v>
      </c>
      <c r="BV57" s="3346">
        <v>1067</v>
      </c>
      <c r="BW57" s="3347">
        <v>1084</v>
      </c>
      <c r="BX57" s="3348">
        <v>850</v>
      </c>
      <c r="BY57" s="3273">
        <v>816</v>
      </c>
      <c r="BZ57" s="3273">
        <v>1061</v>
      </c>
      <c r="CA57" s="3273">
        <v>1104</v>
      </c>
      <c r="CB57" s="3273">
        <v>971</v>
      </c>
      <c r="CC57" s="3273">
        <v>925</v>
      </c>
      <c r="CD57" s="3273">
        <v>1157</v>
      </c>
      <c r="CE57" s="3273">
        <v>914</v>
      </c>
      <c r="CF57" s="3273">
        <v>977</v>
      </c>
      <c r="CG57" s="3273">
        <v>994</v>
      </c>
      <c r="CH57" s="3273">
        <v>1010</v>
      </c>
      <c r="CI57" s="3275">
        <v>1471</v>
      </c>
      <c r="CJ57" s="3349">
        <v>1161</v>
      </c>
      <c r="CK57" s="3350">
        <v>1292</v>
      </c>
      <c r="CL57" s="3350">
        <v>1612</v>
      </c>
      <c r="CM57" s="3350">
        <v>1518</v>
      </c>
      <c r="CN57" s="3350">
        <v>1350</v>
      </c>
      <c r="CO57" s="3350">
        <v>1490</v>
      </c>
      <c r="CP57" s="3350">
        <v>1712</v>
      </c>
      <c r="CQ57" s="3350">
        <v>1328</v>
      </c>
      <c r="CR57" s="3350">
        <v>1559</v>
      </c>
      <c r="CS57" s="3350">
        <v>1567</v>
      </c>
      <c r="CT57" s="3350">
        <v>1967</v>
      </c>
      <c r="CU57" s="3351">
        <v>1576</v>
      </c>
      <c r="CV57" s="3349">
        <v>1180</v>
      </c>
      <c r="CW57" s="3350">
        <v>1207</v>
      </c>
      <c r="CX57" s="3272">
        <v>1707</v>
      </c>
      <c r="CY57" s="3272">
        <v>1417</v>
      </c>
      <c r="CZ57" s="3272">
        <v>1426</v>
      </c>
      <c r="DA57" s="3272">
        <v>1346</v>
      </c>
      <c r="DB57" s="3272">
        <v>1759</v>
      </c>
      <c r="DC57" s="3272">
        <v>1362</v>
      </c>
      <c r="DD57" s="3272">
        <v>1364</v>
      </c>
      <c r="DE57" s="3272">
        <v>1673</v>
      </c>
      <c r="DF57" s="3272">
        <v>1398</v>
      </c>
      <c r="DG57" s="3351">
        <v>1325</v>
      </c>
      <c r="DH57" s="3352">
        <v>1187</v>
      </c>
      <c r="DI57" s="3353">
        <v>1174</v>
      </c>
      <c r="DJ57" s="3353">
        <v>1524</v>
      </c>
      <c r="DK57" s="3354">
        <v>1104</v>
      </c>
      <c r="DL57" s="3354">
        <v>1264</v>
      </c>
      <c r="DM57" s="3354">
        <v>1329</v>
      </c>
      <c r="DN57" s="3354">
        <v>1498</v>
      </c>
      <c r="DO57" s="3354">
        <v>1248</v>
      </c>
      <c r="DP57" s="2556">
        <v>1308</v>
      </c>
      <c r="DQ57" s="3354">
        <v>1953</v>
      </c>
      <c r="DR57" s="3354">
        <v>1459</v>
      </c>
      <c r="DS57" s="3355">
        <v>1279</v>
      </c>
      <c r="DT57" s="3356">
        <v>1089</v>
      </c>
      <c r="DU57" s="3243">
        <v>1033</v>
      </c>
      <c r="DV57" s="3243">
        <v>1340</v>
      </c>
      <c r="DW57" s="3164">
        <v>1541</v>
      </c>
      <c r="DX57" s="3164">
        <v>1270</v>
      </c>
      <c r="DY57" s="3164">
        <v>1466</v>
      </c>
      <c r="DZ57" s="3164">
        <v>1782</v>
      </c>
      <c r="EA57" s="3164">
        <v>1384</v>
      </c>
      <c r="EB57" s="3164">
        <v>1310</v>
      </c>
      <c r="EC57" s="3164">
        <v>1643</v>
      </c>
      <c r="ED57" s="3164">
        <v>1674</v>
      </c>
      <c r="EE57" s="3163">
        <v>1625</v>
      </c>
      <c r="EF57" s="2532">
        <v>1302</v>
      </c>
      <c r="EG57" s="2531">
        <v>1297</v>
      </c>
      <c r="EH57" s="2531">
        <v>1472</v>
      </c>
      <c r="EI57" s="2531">
        <v>1656</v>
      </c>
      <c r="EJ57" s="2531">
        <v>1613</v>
      </c>
      <c r="EK57" s="2531">
        <v>1730</v>
      </c>
      <c r="EL57" s="2531">
        <v>2122</v>
      </c>
      <c r="EM57" s="2557">
        <v>1672</v>
      </c>
      <c r="EN57" s="2557">
        <v>1935</v>
      </c>
      <c r="EO57" s="2558">
        <v>2094</v>
      </c>
      <c r="EP57" s="2558">
        <v>1907</v>
      </c>
      <c r="EQ57" s="2559">
        <v>1793</v>
      </c>
      <c r="ER57" s="1320">
        <v>1454</v>
      </c>
      <c r="ES57" s="3357">
        <v>1596</v>
      </c>
      <c r="ET57" s="3357">
        <v>1930</v>
      </c>
      <c r="EU57" s="2560">
        <v>2053</v>
      </c>
      <c r="EV57" s="2104">
        <v>1644</v>
      </c>
      <c r="EW57" s="2104">
        <v>1820</v>
      </c>
      <c r="EX57" s="2104">
        <v>1932</v>
      </c>
      <c r="EY57" s="2104">
        <v>1590</v>
      </c>
      <c r="EZ57" s="2104">
        <v>1672</v>
      </c>
      <c r="FA57" s="2275">
        <v>1400</v>
      </c>
      <c r="FB57" s="2275">
        <v>1836</v>
      </c>
      <c r="FC57" s="2275">
        <v>2108</v>
      </c>
      <c r="FD57" s="2608">
        <v>1799</v>
      </c>
      <c r="FE57" s="2609">
        <v>1661</v>
      </c>
      <c r="FF57" s="2609">
        <v>771</v>
      </c>
      <c r="FG57" s="2609">
        <v>15</v>
      </c>
      <c r="FH57" s="2609">
        <v>12</v>
      </c>
      <c r="FI57" s="2609">
        <v>37</v>
      </c>
      <c r="FJ57" s="2609">
        <v>43</v>
      </c>
      <c r="FK57" s="2609">
        <v>355</v>
      </c>
      <c r="FL57" s="2609">
        <v>419</v>
      </c>
      <c r="FM57" s="2609">
        <v>477</v>
      </c>
      <c r="FN57" s="2609">
        <v>574</v>
      </c>
      <c r="FO57" s="2610">
        <v>731</v>
      </c>
      <c r="FP57" s="2608">
        <v>699</v>
      </c>
      <c r="FQ57" s="2609">
        <v>570</v>
      </c>
      <c r="FR57" s="2609">
        <v>525</v>
      </c>
      <c r="FS57" s="2609">
        <v>407</v>
      </c>
      <c r="FT57" s="2609">
        <v>549</v>
      </c>
      <c r="FU57" s="2609"/>
      <c r="FV57" s="2609"/>
      <c r="FW57" s="2609"/>
      <c r="FX57" s="2609"/>
      <c r="FY57" s="2609"/>
      <c r="FZ57" s="2609"/>
      <c r="GA57" s="2614"/>
      <c r="GB57" s="2607"/>
      <c r="GC57" s="2754">
        <v>1107</v>
      </c>
      <c r="GD57" s="2755">
        <v>1201</v>
      </c>
      <c r="GE57" s="2755">
        <v>2035</v>
      </c>
      <c r="GF57" s="2756">
        <v>1775</v>
      </c>
      <c r="GG57" s="2757">
        <v>1471</v>
      </c>
      <c r="GH57" s="2758">
        <v>2006</v>
      </c>
      <c r="GI57" s="2758">
        <v>2219</v>
      </c>
      <c r="GJ57" s="2759">
        <v>2497</v>
      </c>
      <c r="GK57" s="2760">
        <v>1567</v>
      </c>
      <c r="GL57" s="2761">
        <v>2059.5</v>
      </c>
      <c r="GM57" s="2762">
        <v>2250</v>
      </c>
      <c r="GN57" s="2762">
        <v>2344</v>
      </c>
      <c r="GO57" s="2763">
        <v>1855</v>
      </c>
      <c r="GP57" s="2764">
        <v>2406</v>
      </c>
      <c r="GQ57" s="2764">
        <v>2536</v>
      </c>
      <c r="GR57" s="2765">
        <v>2521</v>
      </c>
      <c r="GS57" s="2766">
        <v>2150</v>
      </c>
      <c r="GT57" s="2767">
        <v>3268</v>
      </c>
      <c r="GU57" s="2767">
        <v>3162</v>
      </c>
      <c r="GV57" s="2768">
        <v>3090</v>
      </c>
      <c r="GW57" s="2764">
        <v>1804</v>
      </c>
      <c r="GX57" s="2764">
        <v>3017</v>
      </c>
      <c r="GY57" s="2764">
        <v>3033</v>
      </c>
      <c r="GZ57" s="2764">
        <v>3342</v>
      </c>
      <c r="HA57" s="2769">
        <v>2727</v>
      </c>
      <c r="HB57" s="2769">
        <v>3000</v>
      </c>
      <c r="HC57" s="2769">
        <v>3048</v>
      </c>
      <c r="HD57" s="2769">
        <v>3475</v>
      </c>
      <c r="HE57" s="2770">
        <v>4065</v>
      </c>
      <c r="HF57" s="2770">
        <v>4358</v>
      </c>
      <c r="HG57" s="2770">
        <f t="shared" si="17"/>
        <v>4599</v>
      </c>
      <c r="HH57" s="2770">
        <v>5110</v>
      </c>
      <c r="HI57" s="2771">
        <v>4094</v>
      </c>
      <c r="HJ57" s="2771">
        <f t="shared" si="18"/>
        <v>4189</v>
      </c>
      <c r="HK57" s="2771">
        <f t="shared" si="19"/>
        <v>4485</v>
      </c>
      <c r="HL57" s="2770">
        <f t="shared" si="20"/>
        <v>4396</v>
      </c>
      <c r="HM57" s="2689">
        <f t="shared" si="21"/>
        <v>3885</v>
      </c>
      <c r="HN57" s="2689">
        <f t="shared" si="22"/>
        <v>3697</v>
      </c>
      <c r="HO57" s="2689">
        <f t="shared" si="23"/>
        <v>4025</v>
      </c>
      <c r="HP57" s="2689">
        <f t="shared" si="24"/>
        <v>4691</v>
      </c>
      <c r="HQ57" s="2764">
        <f t="shared" si="25"/>
        <v>3462</v>
      </c>
      <c r="HR57" s="2764">
        <f t="shared" si="26"/>
        <v>4277</v>
      </c>
      <c r="HS57" s="2764">
        <f t="shared" si="27"/>
        <v>4476</v>
      </c>
      <c r="HT57" s="2764">
        <f t="shared" si="28"/>
        <v>4942</v>
      </c>
      <c r="HU57" s="2772">
        <f t="shared" si="29"/>
        <v>4071</v>
      </c>
      <c r="HV57" s="2769">
        <f t="shared" si="30"/>
        <v>4999</v>
      </c>
      <c r="HW57" s="2769">
        <f t="shared" si="31"/>
        <v>5729</v>
      </c>
      <c r="HX57" s="2769">
        <f t="shared" si="32"/>
        <v>5794</v>
      </c>
      <c r="HY57" s="2773">
        <f t="shared" si="33"/>
        <v>4980</v>
      </c>
      <c r="HZ57" s="2774">
        <f t="shared" si="34"/>
        <v>5517</v>
      </c>
      <c r="IA57" s="2774">
        <f t="shared" si="35"/>
        <v>5194</v>
      </c>
      <c r="IB57" s="2774">
        <f t="shared" si="36"/>
        <v>5344</v>
      </c>
      <c r="IC57" s="2775">
        <f t="shared" si="47"/>
        <v>4231</v>
      </c>
      <c r="ID57" s="2776">
        <f t="shared" si="48"/>
        <v>64</v>
      </c>
      <c r="IE57" s="2776">
        <f t="shared" si="49"/>
        <v>5194</v>
      </c>
      <c r="IF57" s="2777">
        <f t="shared" si="50"/>
        <v>1782</v>
      </c>
      <c r="IG57" s="2772">
        <f t="shared" si="51"/>
        <v>1794</v>
      </c>
      <c r="IH57" s="2769">
        <f t="shared" si="52"/>
        <v>956</v>
      </c>
      <c r="II57" s="2769">
        <f t="shared" si="53"/>
        <v>0</v>
      </c>
      <c r="IJ57" s="2769">
        <f t="shared" si="54"/>
        <v>0</v>
      </c>
      <c r="IK57" s="2578"/>
      <c r="IL57" s="3358">
        <v>6118</v>
      </c>
      <c r="IM57" s="3359">
        <v>8193</v>
      </c>
      <c r="IN57" s="3359">
        <v>8220.5</v>
      </c>
      <c r="IO57" s="3359">
        <v>9318</v>
      </c>
      <c r="IP57" s="3359">
        <v>11670</v>
      </c>
      <c r="IQ57" s="3359">
        <v>11196</v>
      </c>
      <c r="IR57" s="3360">
        <v>12250</v>
      </c>
      <c r="IS57" s="3361">
        <v>18132</v>
      </c>
      <c r="IT57" s="3361">
        <f t="shared" si="37"/>
        <v>17164</v>
      </c>
      <c r="IU57" s="3361">
        <f t="shared" si="38"/>
        <v>16327</v>
      </c>
      <c r="IV57" s="3361">
        <f t="shared" si="39"/>
        <v>17157</v>
      </c>
      <c r="IW57" s="3361">
        <f t="shared" si="40"/>
        <v>20593</v>
      </c>
      <c r="IX57" s="3362">
        <f t="shared" si="55"/>
        <v>21035</v>
      </c>
      <c r="IY57" s="3380">
        <f t="shared" si="41"/>
        <v>6894</v>
      </c>
      <c r="IZ57" s="3378">
        <f t="shared" si="57"/>
        <v>4703</v>
      </c>
      <c r="JA57" s="3579">
        <f t="shared" si="58"/>
        <v>2750</v>
      </c>
      <c r="JC57" s="3365">
        <f t="shared" si="59"/>
        <v>5798.5</v>
      </c>
      <c r="JD57" s="3366">
        <f t="shared" si="42"/>
        <v>2.6013899997769371E-2</v>
      </c>
      <c r="JE57" s="3366">
        <f t="shared" si="43"/>
        <v>2.6276896027298442E-2</v>
      </c>
      <c r="JF57" s="3366">
        <f t="shared" si="60"/>
        <v>3.0089568813103641E-2</v>
      </c>
      <c r="JG57" s="3366">
        <f t="shared" si="56"/>
        <v>3.0735399406770992E-2</v>
      </c>
      <c r="JH57" s="3366">
        <f t="shared" si="61"/>
        <v>3.6204750626257109E-2</v>
      </c>
      <c r="JI57" s="3379">
        <f t="shared" si="62"/>
        <v>1.6736893051858388E-2</v>
      </c>
      <c r="JJ57" s="3366"/>
      <c r="JK57" s="3368">
        <f t="shared" si="44"/>
        <v>5.0836038463894173E-2</v>
      </c>
      <c r="JL57" s="3369">
        <f t="shared" si="45"/>
        <v>-0.64485208550254181</v>
      </c>
      <c r="JM57" s="3369">
        <f t="shared" si="46"/>
        <v>0.20026811214081719</v>
      </c>
      <c r="JN57" s="3369">
        <f t="shared" si="46"/>
        <v>2.1463604137328174E-2</v>
      </c>
      <c r="JO57" s="3369">
        <f t="shared" si="46"/>
        <v>-0.67226051818397914</v>
      </c>
      <c r="JP57" s="3370">
        <f t="shared" si="63"/>
        <v>-0.77642025196101738</v>
      </c>
      <c r="JQ57" s="3371">
        <f t="shared" si="64"/>
        <v>-0.31781259065854361</v>
      </c>
      <c r="JS57" s="3045"/>
      <c r="JT57" s="3045"/>
      <c r="JU57" s="3045"/>
      <c r="JV57" s="3045"/>
      <c r="JW57" s="3045"/>
      <c r="JX57" s="3045"/>
      <c r="JY57" s="3045"/>
      <c r="JZ57" s="3045"/>
      <c r="KA57" s="3045"/>
      <c r="KB57" s="3045"/>
      <c r="KC57" s="3045"/>
      <c r="KD57" s="3045"/>
      <c r="KE57" s="3045"/>
      <c r="KF57" s="3045"/>
      <c r="KG57" s="3045"/>
      <c r="KH57" s="3045"/>
      <c r="KI57" s="3045"/>
      <c r="KJ57" s="3045"/>
      <c r="KK57" s="3045"/>
      <c r="KL57" s="3045"/>
      <c r="KM57" s="3045"/>
      <c r="KN57" s="3045"/>
      <c r="KO57" s="3045"/>
    </row>
    <row r="58" spans="1:301" ht="21.9" customHeight="1">
      <c r="A58" s="3372"/>
      <c r="B58" s="3045"/>
      <c r="C58" s="3373" t="s">
        <v>14</v>
      </c>
      <c r="D58" s="3330">
        <v>979</v>
      </c>
      <c r="E58" s="3331">
        <v>1028</v>
      </c>
      <c r="F58" s="3331">
        <v>1191</v>
      </c>
      <c r="G58" s="3331">
        <v>822</v>
      </c>
      <c r="H58" s="3331">
        <v>771</v>
      </c>
      <c r="I58" s="3331">
        <v>743</v>
      </c>
      <c r="J58" s="3331">
        <v>1668</v>
      </c>
      <c r="K58" s="3331">
        <v>1648</v>
      </c>
      <c r="L58" s="3331">
        <v>1293</v>
      </c>
      <c r="M58" s="3331">
        <v>1389</v>
      </c>
      <c r="N58" s="3331">
        <v>1328</v>
      </c>
      <c r="O58" s="3332">
        <v>1045</v>
      </c>
      <c r="P58" s="3333">
        <v>1064</v>
      </c>
      <c r="Q58" s="3334">
        <v>1703</v>
      </c>
      <c r="R58" s="3334">
        <v>1525</v>
      </c>
      <c r="S58" s="3334">
        <v>905</v>
      </c>
      <c r="T58" s="3334">
        <v>1008</v>
      </c>
      <c r="U58" s="3334">
        <v>1074</v>
      </c>
      <c r="V58" s="3334">
        <v>1651</v>
      </c>
      <c r="W58" s="3334">
        <v>1896</v>
      </c>
      <c r="X58" s="3334">
        <v>1295</v>
      </c>
      <c r="Y58" s="3334">
        <v>1655</v>
      </c>
      <c r="Z58" s="3334">
        <v>1637</v>
      </c>
      <c r="AA58" s="3335">
        <v>1309</v>
      </c>
      <c r="AB58" s="3336">
        <v>1162</v>
      </c>
      <c r="AC58" s="3337">
        <v>1372</v>
      </c>
      <c r="AD58" s="3337">
        <v>1251</v>
      </c>
      <c r="AE58" s="3337">
        <v>1188</v>
      </c>
      <c r="AF58" s="3337">
        <v>1125.5</v>
      </c>
      <c r="AG58" s="3337">
        <v>1063</v>
      </c>
      <c r="AH58" s="3337">
        <v>1694</v>
      </c>
      <c r="AI58" s="3337">
        <v>1936</v>
      </c>
      <c r="AJ58" s="3337">
        <v>1190</v>
      </c>
      <c r="AK58" s="3337">
        <v>1628</v>
      </c>
      <c r="AL58" s="3337">
        <v>1627</v>
      </c>
      <c r="AM58" s="3338">
        <v>1330</v>
      </c>
      <c r="AN58" s="3339">
        <v>1167</v>
      </c>
      <c r="AO58" s="3340">
        <v>1178</v>
      </c>
      <c r="AP58" s="3340">
        <v>1274</v>
      </c>
      <c r="AQ58" s="3340">
        <v>821</v>
      </c>
      <c r="AR58" s="3340">
        <v>976</v>
      </c>
      <c r="AS58" s="3340">
        <v>1016</v>
      </c>
      <c r="AT58" s="3340">
        <v>1824</v>
      </c>
      <c r="AU58" s="3340">
        <v>1850</v>
      </c>
      <c r="AV58" s="3340">
        <v>1266</v>
      </c>
      <c r="AW58" s="3340">
        <v>1582</v>
      </c>
      <c r="AX58" s="3340">
        <v>1470</v>
      </c>
      <c r="AY58" s="3341">
        <v>1296</v>
      </c>
      <c r="AZ58" s="3277">
        <v>1126</v>
      </c>
      <c r="BA58" s="3277">
        <v>1446</v>
      </c>
      <c r="BB58" s="3277">
        <v>1204</v>
      </c>
      <c r="BC58" s="3277">
        <v>1160</v>
      </c>
      <c r="BD58" s="3277">
        <v>926</v>
      </c>
      <c r="BE58" s="3277">
        <v>1107</v>
      </c>
      <c r="BF58" s="3277">
        <v>1753</v>
      </c>
      <c r="BG58" s="3277">
        <v>2142</v>
      </c>
      <c r="BH58" s="3277">
        <v>1459</v>
      </c>
      <c r="BI58" s="3277">
        <v>1726</v>
      </c>
      <c r="BJ58" s="3277">
        <v>1523</v>
      </c>
      <c r="BK58" s="3374">
        <v>1238</v>
      </c>
      <c r="BL58" s="3344">
        <v>1222</v>
      </c>
      <c r="BM58" s="3345">
        <v>1433</v>
      </c>
      <c r="BN58" s="3345">
        <v>1585</v>
      </c>
      <c r="BO58" s="3345">
        <v>1043</v>
      </c>
      <c r="BP58" s="3345">
        <v>1060</v>
      </c>
      <c r="BQ58" s="3345">
        <v>1097</v>
      </c>
      <c r="BR58" s="3345">
        <v>1975</v>
      </c>
      <c r="BS58" s="3345">
        <v>2483</v>
      </c>
      <c r="BT58" s="3346">
        <v>1516</v>
      </c>
      <c r="BU58" s="3346">
        <v>1776</v>
      </c>
      <c r="BV58" s="3346">
        <v>1812</v>
      </c>
      <c r="BW58" s="3347">
        <v>1505</v>
      </c>
      <c r="BX58" s="3348">
        <v>1259</v>
      </c>
      <c r="BY58" s="3273">
        <v>1498</v>
      </c>
      <c r="BZ58" s="3273">
        <v>1791</v>
      </c>
      <c r="CA58" s="3273">
        <v>999</v>
      </c>
      <c r="CB58" s="3273">
        <v>1135</v>
      </c>
      <c r="CC58" s="3273">
        <v>1094</v>
      </c>
      <c r="CD58" s="3273">
        <v>1954</v>
      </c>
      <c r="CE58" s="3273">
        <v>2103</v>
      </c>
      <c r="CF58" s="3273">
        <v>1514</v>
      </c>
      <c r="CG58" s="3273">
        <v>1650</v>
      </c>
      <c r="CH58" s="3273">
        <v>1669</v>
      </c>
      <c r="CI58" s="3275">
        <v>1507</v>
      </c>
      <c r="CJ58" s="3349">
        <v>1252</v>
      </c>
      <c r="CK58" s="3350">
        <v>1443</v>
      </c>
      <c r="CL58" s="3350">
        <v>1447</v>
      </c>
      <c r="CM58" s="3350">
        <v>1394</v>
      </c>
      <c r="CN58" s="3350">
        <v>1109</v>
      </c>
      <c r="CO58" s="3350">
        <v>986</v>
      </c>
      <c r="CP58" s="3350">
        <v>2241</v>
      </c>
      <c r="CQ58" s="3350">
        <v>2458</v>
      </c>
      <c r="CR58" s="3350">
        <v>1566</v>
      </c>
      <c r="CS58" s="3350">
        <v>1926</v>
      </c>
      <c r="CT58" s="3350">
        <v>1800</v>
      </c>
      <c r="CU58" s="3351">
        <v>1600</v>
      </c>
      <c r="CV58" s="3349">
        <v>1310</v>
      </c>
      <c r="CW58" s="3350">
        <v>1458</v>
      </c>
      <c r="CX58" s="3272">
        <v>1764</v>
      </c>
      <c r="CY58" s="3272">
        <v>1021</v>
      </c>
      <c r="CZ58" s="3272">
        <v>1209</v>
      </c>
      <c r="DA58" s="3272">
        <v>1089</v>
      </c>
      <c r="DB58" s="3272">
        <v>1876</v>
      </c>
      <c r="DC58" s="3272">
        <v>2424</v>
      </c>
      <c r="DD58" s="3272">
        <v>1390</v>
      </c>
      <c r="DE58" s="3272">
        <v>1890</v>
      </c>
      <c r="DF58" s="3272">
        <v>1595</v>
      </c>
      <c r="DG58" s="3351">
        <v>1538</v>
      </c>
      <c r="DH58" s="3352">
        <v>1219</v>
      </c>
      <c r="DI58" s="3353">
        <v>1461</v>
      </c>
      <c r="DJ58" s="3353">
        <v>1530</v>
      </c>
      <c r="DK58" s="3354">
        <v>984</v>
      </c>
      <c r="DL58" s="3354">
        <v>1111</v>
      </c>
      <c r="DM58" s="3354">
        <v>1105</v>
      </c>
      <c r="DN58" s="3354">
        <v>2133</v>
      </c>
      <c r="DO58" s="3354">
        <v>2090</v>
      </c>
      <c r="DP58" s="2556">
        <v>1304</v>
      </c>
      <c r="DQ58" s="3354">
        <v>1939</v>
      </c>
      <c r="DR58" s="3354">
        <v>1447</v>
      </c>
      <c r="DS58" s="3355">
        <v>1384</v>
      </c>
      <c r="DT58" s="3356">
        <v>1181</v>
      </c>
      <c r="DU58" s="3243">
        <v>1257</v>
      </c>
      <c r="DV58" s="3243">
        <v>1493</v>
      </c>
      <c r="DW58" s="3164">
        <v>1328</v>
      </c>
      <c r="DX58" s="3164">
        <v>1017</v>
      </c>
      <c r="DY58" s="3164">
        <v>1177</v>
      </c>
      <c r="DZ58" s="3164">
        <v>1762</v>
      </c>
      <c r="EA58" s="3164">
        <v>2116</v>
      </c>
      <c r="EB58" s="3164">
        <v>1515</v>
      </c>
      <c r="EC58" s="3164">
        <v>2079</v>
      </c>
      <c r="ED58" s="3164">
        <v>1709</v>
      </c>
      <c r="EE58" s="3163">
        <v>1429</v>
      </c>
      <c r="EF58" s="2532">
        <v>1364</v>
      </c>
      <c r="EG58" s="2531">
        <v>1772</v>
      </c>
      <c r="EH58" s="2531">
        <v>1987</v>
      </c>
      <c r="EI58" s="2531">
        <v>1233</v>
      </c>
      <c r="EJ58" s="2531">
        <v>1437</v>
      </c>
      <c r="EK58" s="2531">
        <v>1289</v>
      </c>
      <c r="EL58" s="2531">
        <v>2110</v>
      </c>
      <c r="EM58" s="2557">
        <v>2013</v>
      </c>
      <c r="EN58" s="2557">
        <v>1690</v>
      </c>
      <c r="EO58" s="2558">
        <v>1860</v>
      </c>
      <c r="EP58" s="2558">
        <v>2026</v>
      </c>
      <c r="EQ58" s="2559">
        <v>1630</v>
      </c>
      <c r="ER58" s="1320">
        <v>1437</v>
      </c>
      <c r="ES58" s="3357">
        <v>1736</v>
      </c>
      <c r="ET58" s="3357">
        <v>1752</v>
      </c>
      <c r="EU58" s="2560">
        <v>1612</v>
      </c>
      <c r="EV58" s="2104">
        <v>1388</v>
      </c>
      <c r="EW58" s="2104">
        <v>1538</v>
      </c>
      <c r="EX58" s="2104">
        <v>2642</v>
      </c>
      <c r="EY58" s="2104">
        <v>2517</v>
      </c>
      <c r="EZ58" s="2104">
        <v>1974</v>
      </c>
      <c r="FA58" s="2275">
        <v>1837</v>
      </c>
      <c r="FB58" s="2275">
        <v>2241</v>
      </c>
      <c r="FC58" s="2275">
        <v>2074</v>
      </c>
      <c r="FD58" s="2615">
        <v>1785</v>
      </c>
      <c r="FE58" s="2616">
        <v>2078</v>
      </c>
      <c r="FF58" s="2616">
        <v>880</v>
      </c>
      <c r="FG58" s="2616">
        <v>9</v>
      </c>
      <c r="FH58" s="2616">
        <v>12</v>
      </c>
      <c r="FI58" s="2616">
        <v>19</v>
      </c>
      <c r="FJ58" s="2616">
        <v>54</v>
      </c>
      <c r="FK58" s="2616">
        <v>137</v>
      </c>
      <c r="FL58" s="2616">
        <v>139</v>
      </c>
      <c r="FM58" s="2616">
        <v>179</v>
      </c>
      <c r="FN58" s="2616">
        <v>145</v>
      </c>
      <c r="FO58" s="2617">
        <v>331</v>
      </c>
      <c r="FP58" s="2615">
        <v>281</v>
      </c>
      <c r="FQ58" s="2616">
        <v>166</v>
      </c>
      <c r="FR58" s="2616">
        <v>258</v>
      </c>
      <c r="FS58" s="2616">
        <v>249</v>
      </c>
      <c r="FT58" s="2616">
        <v>270</v>
      </c>
      <c r="FU58" s="2616"/>
      <c r="FV58" s="2616"/>
      <c r="FW58" s="2616"/>
      <c r="FX58" s="2616"/>
      <c r="FY58" s="2616"/>
      <c r="FZ58" s="2616"/>
      <c r="GA58" s="2618"/>
      <c r="GB58" s="2607"/>
      <c r="GC58" s="2754">
        <v>3198</v>
      </c>
      <c r="GD58" s="2755">
        <v>2336</v>
      </c>
      <c r="GE58" s="2755">
        <v>4609</v>
      </c>
      <c r="GF58" s="2756">
        <v>3762</v>
      </c>
      <c r="GG58" s="2757">
        <v>4292</v>
      </c>
      <c r="GH58" s="2758">
        <v>2987</v>
      </c>
      <c r="GI58" s="2758">
        <v>4842</v>
      </c>
      <c r="GJ58" s="2759">
        <v>4601</v>
      </c>
      <c r="GK58" s="2760">
        <v>3785</v>
      </c>
      <c r="GL58" s="2761">
        <v>3376.5</v>
      </c>
      <c r="GM58" s="2762">
        <v>4820</v>
      </c>
      <c r="GN58" s="2762">
        <v>4585</v>
      </c>
      <c r="GO58" s="2763">
        <v>3619</v>
      </c>
      <c r="GP58" s="2764">
        <v>2813</v>
      </c>
      <c r="GQ58" s="2764">
        <v>4940</v>
      </c>
      <c r="GR58" s="2765">
        <v>4348</v>
      </c>
      <c r="GS58" s="2766">
        <v>3776</v>
      </c>
      <c r="GT58" s="2767">
        <v>3193</v>
      </c>
      <c r="GU58" s="2767">
        <v>5354</v>
      </c>
      <c r="GV58" s="2768">
        <v>4487</v>
      </c>
      <c r="GW58" s="2764">
        <v>4240</v>
      </c>
      <c r="GX58" s="2764">
        <v>3200</v>
      </c>
      <c r="GY58" s="2764">
        <v>5974</v>
      </c>
      <c r="GZ58" s="2764">
        <v>5093</v>
      </c>
      <c r="HA58" s="2769">
        <v>4548</v>
      </c>
      <c r="HB58" s="2769">
        <v>3228</v>
      </c>
      <c r="HC58" s="2769">
        <v>5571</v>
      </c>
      <c r="HD58" s="2769">
        <v>4826</v>
      </c>
      <c r="HE58" s="2770">
        <v>4142</v>
      </c>
      <c r="HF58" s="2770">
        <v>3489</v>
      </c>
      <c r="HG58" s="2770">
        <f t="shared" si="17"/>
        <v>6265</v>
      </c>
      <c r="HH58" s="2770">
        <v>5326</v>
      </c>
      <c r="HI58" s="2771">
        <v>4532</v>
      </c>
      <c r="HJ58" s="2771">
        <f t="shared" si="18"/>
        <v>3319</v>
      </c>
      <c r="HK58" s="2771">
        <f t="shared" si="19"/>
        <v>5690</v>
      </c>
      <c r="HL58" s="2770">
        <f t="shared" si="20"/>
        <v>5023</v>
      </c>
      <c r="HM58" s="2689">
        <f t="shared" si="21"/>
        <v>4210</v>
      </c>
      <c r="HN58" s="2689">
        <f t="shared" si="22"/>
        <v>3200</v>
      </c>
      <c r="HO58" s="2689">
        <f t="shared" si="23"/>
        <v>5607</v>
      </c>
      <c r="HP58" s="2689">
        <f t="shared" si="24"/>
        <v>4770</v>
      </c>
      <c r="HQ58" s="2764">
        <f t="shared" si="25"/>
        <v>3931</v>
      </c>
      <c r="HR58" s="2764">
        <f t="shared" si="26"/>
        <v>3522</v>
      </c>
      <c r="HS58" s="2764">
        <f t="shared" si="27"/>
        <v>5393</v>
      </c>
      <c r="HT58" s="2764">
        <f t="shared" si="28"/>
        <v>5217</v>
      </c>
      <c r="HU58" s="2772">
        <f t="shared" si="29"/>
        <v>5123</v>
      </c>
      <c r="HV58" s="2769">
        <f t="shared" si="30"/>
        <v>3959</v>
      </c>
      <c r="HW58" s="2769">
        <f t="shared" si="31"/>
        <v>5813</v>
      </c>
      <c r="HX58" s="2769">
        <f t="shared" si="32"/>
        <v>5516</v>
      </c>
      <c r="HY58" s="2773">
        <f t="shared" si="33"/>
        <v>4925</v>
      </c>
      <c r="HZ58" s="2774">
        <f t="shared" si="34"/>
        <v>4538</v>
      </c>
      <c r="IA58" s="2774">
        <f t="shared" si="35"/>
        <v>7133</v>
      </c>
      <c r="IB58" s="2774">
        <f t="shared" si="36"/>
        <v>6152</v>
      </c>
      <c r="IC58" s="2775">
        <f t="shared" si="47"/>
        <v>4743</v>
      </c>
      <c r="ID58" s="2776">
        <f t="shared" si="48"/>
        <v>40</v>
      </c>
      <c r="IE58" s="2776">
        <f t="shared" si="49"/>
        <v>7133</v>
      </c>
      <c r="IF58" s="2777">
        <f t="shared" si="50"/>
        <v>655</v>
      </c>
      <c r="IG58" s="2772">
        <f t="shared" si="51"/>
        <v>705</v>
      </c>
      <c r="IH58" s="2769">
        <f t="shared" si="52"/>
        <v>519</v>
      </c>
      <c r="II58" s="2769">
        <f t="shared" si="53"/>
        <v>0</v>
      </c>
      <c r="IJ58" s="2769">
        <f t="shared" si="54"/>
        <v>0</v>
      </c>
      <c r="IK58" s="2578"/>
      <c r="IL58" s="3358">
        <v>13905</v>
      </c>
      <c r="IM58" s="3359">
        <v>16722</v>
      </c>
      <c r="IN58" s="3359">
        <v>16566.5</v>
      </c>
      <c r="IO58" s="3359">
        <v>15720</v>
      </c>
      <c r="IP58" s="3359">
        <v>16810</v>
      </c>
      <c r="IQ58" s="3359">
        <v>18507</v>
      </c>
      <c r="IR58" s="3360">
        <v>18173</v>
      </c>
      <c r="IS58" s="3361">
        <v>19222</v>
      </c>
      <c r="IT58" s="3361">
        <f t="shared" si="37"/>
        <v>18564</v>
      </c>
      <c r="IU58" s="3361">
        <f t="shared" si="38"/>
        <v>17707</v>
      </c>
      <c r="IV58" s="3361">
        <f t="shared" si="39"/>
        <v>18063</v>
      </c>
      <c r="IW58" s="3361">
        <f t="shared" si="40"/>
        <v>20411</v>
      </c>
      <c r="IX58" s="3362">
        <f t="shared" si="55"/>
        <v>22748</v>
      </c>
      <c r="IY58" s="3380">
        <f t="shared" si="41"/>
        <v>5768</v>
      </c>
      <c r="IZ58" s="3378">
        <f t="shared" si="57"/>
        <v>2352</v>
      </c>
      <c r="JA58" s="3579">
        <f t="shared" si="58"/>
        <v>1224</v>
      </c>
      <c r="JC58" s="3365">
        <f t="shared" si="59"/>
        <v>4060</v>
      </c>
      <c r="JD58" s="3366">
        <f t="shared" si="42"/>
        <v>2.8212661680682444E-2</v>
      </c>
      <c r="JE58" s="3366">
        <f t="shared" si="43"/>
        <v>2.7664485221256151E-2</v>
      </c>
      <c r="JF58" s="3366">
        <f t="shared" si="60"/>
        <v>2.9823638568652378E-2</v>
      </c>
      <c r="JG58" s="3366">
        <f t="shared" si="56"/>
        <v>3.3238358246029311E-2</v>
      </c>
      <c r="JH58" s="3366">
        <f t="shared" si="61"/>
        <v>3.029141305660734E-2</v>
      </c>
      <c r="JI58" s="3379">
        <f t="shared" si="62"/>
        <v>8.3702259106891198E-3</v>
      </c>
      <c r="JJ58" s="3366"/>
      <c r="JK58" s="3368">
        <f t="shared" si="44"/>
        <v>2.0105043203253015E-2</v>
      </c>
      <c r="JL58" s="3369">
        <f t="shared" si="45"/>
        <v>-0.77071214773818264</v>
      </c>
      <c r="JM58" s="3369">
        <f t="shared" si="46"/>
        <v>0.1299894812600344</v>
      </c>
      <c r="JN58" s="3369">
        <f t="shared" si="46"/>
        <v>0.11449708490519828</v>
      </c>
      <c r="JO58" s="3369">
        <f t="shared" si="46"/>
        <v>-0.74643924740636547</v>
      </c>
      <c r="JP58" s="3370">
        <f t="shared" si="63"/>
        <v>-0.89660629505890632</v>
      </c>
      <c r="JQ58" s="3371">
        <f t="shared" si="64"/>
        <v>-0.59223300970873782</v>
      </c>
      <c r="JS58" s="3045"/>
      <c r="JT58" s="3045"/>
      <c r="JU58" s="3045"/>
      <c r="JV58" s="3045"/>
      <c r="JW58" s="3045"/>
      <c r="JX58" s="3045"/>
      <c r="JY58" s="3045"/>
      <c r="JZ58" s="3045"/>
      <c r="KA58" s="3045"/>
      <c r="KB58" s="3045"/>
      <c r="KC58" s="3045"/>
      <c r="KD58" s="3045"/>
      <c r="KE58" s="3045"/>
      <c r="KF58" s="3045"/>
      <c r="KG58" s="3045"/>
      <c r="KH58" s="3045"/>
      <c r="KI58" s="3045"/>
      <c r="KJ58" s="3045"/>
      <c r="KK58" s="3045"/>
      <c r="KL58" s="3045"/>
      <c r="KM58" s="3045"/>
      <c r="KN58" s="3045"/>
      <c r="KO58" s="3045"/>
    </row>
    <row r="59" spans="1:301" ht="21.9" customHeight="1">
      <c r="A59" s="3372"/>
      <c r="B59" s="3045"/>
      <c r="C59" s="3373" t="s">
        <v>17</v>
      </c>
      <c r="D59" s="3330">
        <v>1097</v>
      </c>
      <c r="E59" s="3331">
        <v>1128</v>
      </c>
      <c r="F59" s="3331">
        <v>1588</v>
      </c>
      <c r="G59" s="3331">
        <v>794</v>
      </c>
      <c r="H59" s="3331">
        <v>1013</v>
      </c>
      <c r="I59" s="3331">
        <v>864</v>
      </c>
      <c r="J59" s="3331">
        <v>1335</v>
      </c>
      <c r="K59" s="3331">
        <v>1183</v>
      </c>
      <c r="L59" s="3331">
        <v>675</v>
      </c>
      <c r="M59" s="3331">
        <v>1026</v>
      </c>
      <c r="N59" s="3331">
        <v>1173</v>
      </c>
      <c r="O59" s="3332">
        <v>1378</v>
      </c>
      <c r="P59" s="3333">
        <v>1388</v>
      </c>
      <c r="Q59" s="3334">
        <v>2196</v>
      </c>
      <c r="R59" s="3334">
        <v>1673</v>
      </c>
      <c r="S59" s="3334">
        <v>1110</v>
      </c>
      <c r="T59" s="3334">
        <v>1238</v>
      </c>
      <c r="U59" s="3334">
        <v>1120</v>
      </c>
      <c r="V59" s="3334">
        <v>1523</v>
      </c>
      <c r="W59" s="3334">
        <v>1054</v>
      </c>
      <c r="X59" s="3334">
        <v>752</v>
      </c>
      <c r="Y59" s="3334">
        <v>1026</v>
      </c>
      <c r="Z59" s="3334">
        <v>1336</v>
      </c>
      <c r="AA59" s="3335">
        <v>1471</v>
      </c>
      <c r="AB59" s="3336">
        <v>1451</v>
      </c>
      <c r="AC59" s="3337">
        <v>1549</v>
      </c>
      <c r="AD59" s="3337">
        <v>1686</v>
      </c>
      <c r="AE59" s="3337">
        <v>1231</v>
      </c>
      <c r="AF59" s="3337">
        <v>1258.5</v>
      </c>
      <c r="AG59" s="3337">
        <v>1286</v>
      </c>
      <c r="AH59" s="3337">
        <v>1497</v>
      </c>
      <c r="AI59" s="3337">
        <v>1229</v>
      </c>
      <c r="AJ59" s="3337">
        <v>696</v>
      </c>
      <c r="AK59" s="3337">
        <v>955</v>
      </c>
      <c r="AL59" s="3337">
        <v>1183</v>
      </c>
      <c r="AM59" s="3338">
        <v>1674</v>
      </c>
      <c r="AN59" s="3339">
        <v>1425</v>
      </c>
      <c r="AO59" s="3340">
        <v>1645</v>
      </c>
      <c r="AP59" s="3340">
        <v>1789</v>
      </c>
      <c r="AQ59" s="3340">
        <v>1180</v>
      </c>
      <c r="AR59" s="3340">
        <v>1399</v>
      </c>
      <c r="AS59" s="3340">
        <v>1174</v>
      </c>
      <c r="AT59" s="3340">
        <v>1698</v>
      </c>
      <c r="AU59" s="3340">
        <v>1224</v>
      </c>
      <c r="AV59" s="3340">
        <v>650</v>
      </c>
      <c r="AW59" s="3340">
        <v>1101</v>
      </c>
      <c r="AX59" s="3340">
        <v>1202</v>
      </c>
      <c r="AY59" s="3341">
        <v>1523</v>
      </c>
      <c r="AZ59" s="3277">
        <v>1487</v>
      </c>
      <c r="BA59" s="3277">
        <v>1741</v>
      </c>
      <c r="BB59" s="3277">
        <v>1757</v>
      </c>
      <c r="BC59" s="3277">
        <v>1161</v>
      </c>
      <c r="BD59" s="3277">
        <v>1486</v>
      </c>
      <c r="BE59" s="3277">
        <v>1172</v>
      </c>
      <c r="BF59" s="3277">
        <v>1748</v>
      </c>
      <c r="BG59" s="3277">
        <v>1257</v>
      </c>
      <c r="BH59" s="3277">
        <v>770</v>
      </c>
      <c r="BI59" s="3277">
        <v>1371</v>
      </c>
      <c r="BJ59" s="3277">
        <v>1247</v>
      </c>
      <c r="BK59" s="3374">
        <v>1717</v>
      </c>
      <c r="BL59" s="3344">
        <v>1699</v>
      </c>
      <c r="BM59" s="3345">
        <v>1657</v>
      </c>
      <c r="BN59" s="3345">
        <v>1895</v>
      </c>
      <c r="BO59" s="3345">
        <v>1311</v>
      </c>
      <c r="BP59" s="3345">
        <v>1551</v>
      </c>
      <c r="BQ59" s="3345">
        <v>1339</v>
      </c>
      <c r="BR59" s="3345">
        <v>1694</v>
      </c>
      <c r="BS59" s="3345">
        <v>1391</v>
      </c>
      <c r="BT59" s="3346">
        <v>950</v>
      </c>
      <c r="BU59" s="3346">
        <v>1450</v>
      </c>
      <c r="BV59" s="3346">
        <v>1542</v>
      </c>
      <c r="BW59" s="3347">
        <v>1940</v>
      </c>
      <c r="BX59" s="3348">
        <v>1614</v>
      </c>
      <c r="BY59" s="3273">
        <v>1762</v>
      </c>
      <c r="BZ59" s="3273">
        <v>2027</v>
      </c>
      <c r="CA59" s="3273">
        <v>1646</v>
      </c>
      <c r="CB59" s="3273">
        <v>1560</v>
      </c>
      <c r="CC59" s="3273">
        <v>1312</v>
      </c>
      <c r="CD59" s="3273">
        <v>1894</v>
      </c>
      <c r="CE59" s="3273">
        <v>1246</v>
      </c>
      <c r="CF59" s="3273">
        <v>1069</v>
      </c>
      <c r="CG59" s="3273">
        <v>1302</v>
      </c>
      <c r="CH59" s="3273">
        <v>1849</v>
      </c>
      <c r="CI59" s="3275">
        <v>1875</v>
      </c>
      <c r="CJ59" s="3349">
        <v>1969</v>
      </c>
      <c r="CK59" s="3350">
        <v>2078</v>
      </c>
      <c r="CL59" s="3350">
        <v>2126</v>
      </c>
      <c r="CM59" s="3350">
        <v>1741</v>
      </c>
      <c r="CN59" s="3350">
        <v>1834</v>
      </c>
      <c r="CO59" s="3350">
        <v>1415</v>
      </c>
      <c r="CP59" s="3350">
        <v>1946</v>
      </c>
      <c r="CQ59" s="3350">
        <v>1377</v>
      </c>
      <c r="CR59" s="3350">
        <v>1099</v>
      </c>
      <c r="CS59" s="3350">
        <v>1315</v>
      </c>
      <c r="CT59" s="3350">
        <v>1764</v>
      </c>
      <c r="CU59" s="3351">
        <v>2184</v>
      </c>
      <c r="CV59" s="3349">
        <v>2293</v>
      </c>
      <c r="CW59" s="3350">
        <v>2373</v>
      </c>
      <c r="CX59" s="3272">
        <v>2492</v>
      </c>
      <c r="CY59" s="3272">
        <v>1804</v>
      </c>
      <c r="CZ59" s="3272">
        <v>1766</v>
      </c>
      <c r="DA59" s="3272">
        <v>1447</v>
      </c>
      <c r="DB59" s="3272">
        <v>1820</v>
      </c>
      <c r="DC59" s="3272">
        <v>1470</v>
      </c>
      <c r="DD59" s="3272">
        <v>1006</v>
      </c>
      <c r="DE59" s="3272">
        <v>1543</v>
      </c>
      <c r="DF59" s="3272">
        <v>1675</v>
      </c>
      <c r="DG59" s="3351">
        <v>1968</v>
      </c>
      <c r="DH59" s="3352">
        <v>2212</v>
      </c>
      <c r="DI59" s="3353">
        <v>2279</v>
      </c>
      <c r="DJ59" s="3353">
        <v>2405</v>
      </c>
      <c r="DK59" s="3354">
        <v>1417</v>
      </c>
      <c r="DL59" s="3354">
        <v>1492</v>
      </c>
      <c r="DM59" s="3354">
        <v>1401</v>
      </c>
      <c r="DN59" s="3354">
        <v>1771</v>
      </c>
      <c r="DO59" s="3354">
        <v>1274</v>
      </c>
      <c r="DP59" s="2556">
        <v>881</v>
      </c>
      <c r="DQ59" s="3354">
        <v>1361</v>
      </c>
      <c r="DR59" s="3354">
        <v>1421</v>
      </c>
      <c r="DS59" s="3355">
        <v>1636</v>
      </c>
      <c r="DT59" s="3356">
        <v>1773</v>
      </c>
      <c r="DU59" s="3243">
        <v>1831</v>
      </c>
      <c r="DV59" s="3243">
        <v>2120</v>
      </c>
      <c r="DW59" s="3164">
        <v>1423</v>
      </c>
      <c r="DX59" s="3164">
        <v>1427</v>
      </c>
      <c r="DY59" s="3164">
        <v>1092</v>
      </c>
      <c r="DZ59" s="3164">
        <v>1458</v>
      </c>
      <c r="EA59" s="3164">
        <v>1343</v>
      </c>
      <c r="EB59" s="3164">
        <v>861</v>
      </c>
      <c r="EC59" s="3164">
        <v>1355</v>
      </c>
      <c r="ED59" s="3164">
        <v>1698</v>
      </c>
      <c r="EE59" s="3163">
        <v>1912</v>
      </c>
      <c r="EF59" s="2532">
        <v>2025</v>
      </c>
      <c r="EG59" s="2531">
        <v>2289</v>
      </c>
      <c r="EH59" s="2531">
        <v>2452</v>
      </c>
      <c r="EI59" s="2531">
        <v>1346</v>
      </c>
      <c r="EJ59" s="2531">
        <v>1691</v>
      </c>
      <c r="EK59" s="2531">
        <v>1280</v>
      </c>
      <c r="EL59" s="2531">
        <v>1777</v>
      </c>
      <c r="EM59" s="2557">
        <v>1210</v>
      </c>
      <c r="EN59" s="2557">
        <v>1034</v>
      </c>
      <c r="EO59" s="2558">
        <v>1386</v>
      </c>
      <c r="EP59" s="2558">
        <v>1601</v>
      </c>
      <c r="EQ59" s="2559">
        <v>1810</v>
      </c>
      <c r="ER59" s="1321">
        <v>2035</v>
      </c>
      <c r="ES59" s="3357">
        <v>2191</v>
      </c>
      <c r="ET59" s="3357">
        <v>2327</v>
      </c>
      <c r="EU59" s="2560">
        <v>1596</v>
      </c>
      <c r="EV59" s="2105">
        <v>2092</v>
      </c>
      <c r="EW59" s="2105">
        <v>1594</v>
      </c>
      <c r="EX59" s="2105">
        <v>2060</v>
      </c>
      <c r="EY59" s="2105">
        <v>1657</v>
      </c>
      <c r="EZ59" s="2105">
        <v>1555</v>
      </c>
      <c r="FA59" s="2275">
        <v>1477</v>
      </c>
      <c r="FB59" s="2275">
        <v>2134</v>
      </c>
      <c r="FC59" s="2275">
        <v>3145</v>
      </c>
      <c r="FD59" s="2615">
        <v>3444</v>
      </c>
      <c r="FE59" s="2616">
        <v>3918</v>
      </c>
      <c r="FF59" s="2616">
        <v>1407</v>
      </c>
      <c r="FG59" s="2616"/>
      <c r="FH59" s="2616">
        <v>6</v>
      </c>
      <c r="FI59" s="2616">
        <v>27</v>
      </c>
      <c r="FJ59" s="2616">
        <v>81</v>
      </c>
      <c r="FK59" s="2616">
        <v>101</v>
      </c>
      <c r="FL59" s="2616">
        <v>100</v>
      </c>
      <c r="FM59" s="2616">
        <v>146</v>
      </c>
      <c r="FN59" s="2616">
        <v>248</v>
      </c>
      <c r="FO59" s="2617">
        <v>319</v>
      </c>
      <c r="FP59" s="2615">
        <v>263</v>
      </c>
      <c r="FQ59" s="2616">
        <v>101</v>
      </c>
      <c r="FR59" s="2616">
        <v>134</v>
      </c>
      <c r="FS59" s="2616">
        <v>136</v>
      </c>
      <c r="FT59" s="2616">
        <v>142</v>
      </c>
      <c r="FU59" s="2616"/>
      <c r="FV59" s="2616"/>
      <c r="FW59" s="2616"/>
      <c r="FX59" s="2616"/>
      <c r="FY59" s="2616"/>
      <c r="FZ59" s="2616"/>
      <c r="GA59" s="2618"/>
      <c r="GB59" s="2607"/>
      <c r="GC59" s="2754">
        <v>3813</v>
      </c>
      <c r="GD59" s="2755">
        <v>2671</v>
      </c>
      <c r="GE59" s="2755">
        <v>3193</v>
      </c>
      <c r="GF59" s="2756">
        <v>3577</v>
      </c>
      <c r="GG59" s="2757">
        <v>5257</v>
      </c>
      <c r="GH59" s="2758">
        <v>3468</v>
      </c>
      <c r="GI59" s="2758">
        <v>3329</v>
      </c>
      <c r="GJ59" s="2759">
        <v>3833</v>
      </c>
      <c r="GK59" s="2760">
        <v>4686</v>
      </c>
      <c r="GL59" s="2761">
        <v>3775.5</v>
      </c>
      <c r="GM59" s="2762">
        <v>3422</v>
      </c>
      <c r="GN59" s="2762">
        <v>3812</v>
      </c>
      <c r="GO59" s="2763">
        <v>4859</v>
      </c>
      <c r="GP59" s="2764">
        <v>3753</v>
      </c>
      <c r="GQ59" s="2764">
        <v>3572</v>
      </c>
      <c r="GR59" s="2765">
        <v>3826</v>
      </c>
      <c r="GS59" s="2766">
        <v>4985</v>
      </c>
      <c r="GT59" s="2767">
        <v>3819</v>
      </c>
      <c r="GU59" s="2767">
        <v>3775</v>
      </c>
      <c r="GV59" s="2768">
        <v>4335</v>
      </c>
      <c r="GW59" s="2764">
        <v>5251</v>
      </c>
      <c r="GX59" s="2764">
        <v>4201</v>
      </c>
      <c r="GY59" s="2764">
        <v>4035</v>
      </c>
      <c r="GZ59" s="2764">
        <v>4932</v>
      </c>
      <c r="HA59" s="2769">
        <v>5403</v>
      </c>
      <c r="HB59" s="2769">
        <v>4518</v>
      </c>
      <c r="HC59" s="2769">
        <v>4209</v>
      </c>
      <c r="HD59" s="2769">
        <v>5026</v>
      </c>
      <c r="HE59" s="2770">
        <v>6173</v>
      </c>
      <c r="HF59" s="2770">
        <v>4990</v>
      </c>
      <c r="HG59" s="2770">
        <f t="shared" si="17"/>
        <v>4422</v>
      </c>
      <c r="HH59" s="2770">
        <v>5263</v>
      </c>
      <c r="HI59" s="2771">
        <v>7158</v>
      </c>
      <c r="HJ59" s="2771">
        <f t="shared" si="18"/>
        <v>5017</v>
      </c>
      <c r="HK59" s="2771">
        <f t="shared" si="19"/>
        <v>4296</v>
      </c>
      <c r="HL59" s="2770">
        <f t="shared" si="20"/>
        <v>5186</v>
      </c>
      <c r="HM59" s="2689">
        <f t="shared" si="21"/>
        <v>6896</v>
      </c>
      <c r="HN59" s="2689">
        <f t="shared" si="22"/>
        <v>4310</v>
      </c>
      <c r="HO59" s="2689">
        <f t="shared" si="23"/>
        <v>4681</v>
      </c>
      <c r="HP59" s="2689">
        <f t="shared" si="24"/>
        <v>4418</v>
      </c>
      <c r="HQ59" s="2764">
        <f t="shared" si="25"/>
        <v>5724</v>
      </c>
      <c r="HR59" s="2764">
        <f t="shared" si="26"/>
        <v>3942</v>
      </c>
      <c r="HS59" s="2764">
        <f t="shared" si="27"/>
        <v>3662</v>
      </c>
      <c r="HT59" s="2764">
        <f t="shared" si="28"/>
        <v>4965</v>
      </c>
      <c r="HU59" s="2772">
        <f t="shared" si="29"/>
        <v>6766</v>
      </c>
      <c r="HV59" s="2769">
        <f t="shared" si="30"/>
        <v>4317</v>
      </c>
      <c r="HW59" s="2769">
        <f t="shared" si="31"/>
        <v>4021</v>
      </c>
      <c r="HX59" s="2769">
        <f t="shared" si="32"/>
        <v>4797</v>
      </c>
      <c r="HY59" s="2773">
        <f t="shared" si="33"/>
        <v>6553</v>
      </c>
      <c r="HZ59" s="2774">
        <f t="shared" si="34"/>
        <v>5282</v>
      </c>
      <c r="IA59" s="2774">
        <f t="shared" si="35"/>
        <v>5272</v>
      </c>
      <c r="IB59" s="2774">
        <f t="shared" si="36"/>
        <v>6756</v>
      </c>
      <c r="IC59" s="2775">
        <f t="shared" si="47"/>
        <v>8769</v>
      </c>
      <c r="ID59" s="2776">
        <f t="shared" si="48"/>
        <v>33</v>
      </c>
      <c r="IE59" s="2776">
        <f t="shared" si="49"/>
        <v>5272</v>
      </c>
      <c r="IF59" s="2777">
        <f t="shared" si="50"/>
        <v>713</v>
      </c>
      <c r="IG59" s="2772">
        <f t="shared" si="51"/>
        <v>498</v>
      </c>
      <c r="IH59" s="2769">
        <f t="shared" si="52"/>
        <v>278</v>
      </c>
      <c r="II59" s="2769">
        <f t="shared" si="53"/>
        <v>0</v>
      </c>
      <c r="IJ59" s="2769">
        <f t="shared" si="54"/>
        <v>0</v>
      </c>
      <c r="IK59" s="2578"/>
      <c r="IL59" s="3358">
        <v>13254</v>
      </c>
      <c r="IM59" s="3359">
        <v>15887</v>
      </c>
      <c r="IN59" s="3359">
        <v>15695.5</v>
      </c>
      <c r="IO59" s="3359">
        <v>16010</v>
      </c>
      <c r="IP59" s="3359">
        <v>16914</v>
      </c>
      <c r="IQ59" s="3359">
        <v>18419</v>
      </c>
      <c r="IR59" s="3360">
        <v>19156</v>
      </c>
      <c r="IS59" s="3361">
        <v>20848</v>
      </c>
      <c r="IT59" s="3361">
        <f t="shared" si="37"/>
        <v>21657</v>
      </c>
      <c r="IU59" s="3361">
        <f t="shared" si="38"/>
        <v>19550</v>
      </c>
      <c r="IV59" s="3361">
        <f t="shared" si="39"/>
        <v>18293</v>
      </c>
      <c r="IW59" s="3361">
        <f t="shared" si="40"/>
        <v>19901</v>
      </c>
      <c r="IX59" s="3362">
        <f t="shared" si="55"/>
        <v>23863</v>
      </c>
      <c r="IY59" s="3380">
        <f t="shared" si="41"/>
        <v>9797</v>
      </c>
      <c r="IZ59" s="3378">
        <f t="shared" si="57"/>
        <v>2799</v>
      </c>
      <c r="JA59" s="3579">
        <f t="shared" si="58"/>
        <v>776</v>
      </c>
      <c r="JC59" s="3365">
        <f t="shared" si="59"/>
        <v>6298</v>
      </c>
      <c r="JD59" s="3366">
        <f t="shared" si="42"/>
        <v>3.1149123841268528E-2</v>
      </c>
      <c r="JE59" s="3366">
        <f t="shared" si="43"/>
        <v>2.8016742963651597E-2</v>
      </c>
      <c r="JF59" s="3366">
        <f t="shared" si="60"/>
        <v>2.9078449422113122E-2</v>
      </c>
      <c r="JG59" s="3366">
        <f t="shared" si="56"/>
        <v>3.4867546282090621E-2</v>
      </c>
      <c r="JH59" s="3366">
        <f t="shared" si="61"/>
        <v>5.1450238161508691E-2</v>
      </c>
      <c r="JI59" s="3379">
        <f t="shared" si="62"/>
        <v>9.9609958860624355E-3</v>
      </c>
      <c r="JJ59" s="3366"/>
      <c r="JK59" s="3368">
        <f t="shared" si="44"/>
        <v>-6.4296675191815811E-2</v>
      </c>
      <c r="JL59" s="3369">
        <f t="shared" si="45"/>
        <v>-0.677851662404092</v>
      </c>
      <c r="JM59" s="3369">
        <f t="shared" si="46"/>
        <v>8.7902476357076376E-2</v>
      </c>
      <c r="JN59" s="3369">
        <f t="shared" si="46"/>
        <v>0.19908547309180435</v>
      </c>
      <c r="JO59" s="3369">
        <f t="shared" si="46"/>
        <v>-0.58944809956836952</v>
      </c>
      <c r="JP59" s="3370">
        <f t="shared" si="63"/>
        <v>-0.88270544357373337</v>
      </c>
      <c r="JQ59" s="3371">
        <f t="shared" si="64"/>
        <v>-0.71430029600898237</v>
      </c>
      <c r="JS59" s="3045"/>
      <c r="JT59" s="3045"/>
      <c r="JU59" s="3045"/>
      <c r="JV59" s="3045"/>
      <c r="JW59" s="3045"/>
      <c r="JX59" s="3045"/>
      <c r="JY59" s="3045"/>
      <c r="JZ59" s="3045"/>
      <c r="KA59" s="3045"/>
      <c r="KB59" s="3045"/>
      <c r="KC59" s="3045"/>
      <c r="KD59" s="3045"/>
      <c r="KE59" s="3045"/>
      <c r="KF59" s="3045"/>
      <c r="KG59" s="3045"/>
      <c r="KH59" s="3045"/>
      <c r="KI59" s="3045"/>
      <c r="KJ59" s="3045"/>
      <c r="KK59" s="3045"/>
      <c r="KL59" s="3045"/>
      <c r="KM59" s="3045"/>
      <c r="KN59" s="3045"/>
      <c r="KO59" s="3045"/>
    </row>
    <row r="60" spans="1:301" ht="21.9" customHeight="1">
      <c r="A60" s="3372"/>
      <c r="B60" s="3045"/>
      <c r="C60" s="3373" t="s">
        <v>11</v>
      </c>
      <c r="D60" s="3330">
        <v>597</v>
      </c>
      <c r="E60" s="3331">
        <v>619</v>
      </c>
      <c r="F60" s="3331">
        <v>664</v>
      </c>
      <c r="G60" s="3331">
        <v>603</v>
      </c>
      <c r="H60" s="3331">
        <v>624</v>
      </c>
      <c r="I60" s="3331">
        <v>757</v>
      </c>
      <c r="J60" s="3331">
        <v>855</v>
      </c>
      <c r="K60" s="3331">
        <v>821</v>
      </c>
      <c r="L60" s="3331">
        <v>861</v>
      </c>
      <c r="M60" s="3331">
        <v>909</v>
      </c>
      <c r="N60" s="3331">
        <v>950</v>
      </c>
      <c r="O60" s="3332">
        <v>519</v>
      </c>
      <c r="P60" s="3333">
        <v>656</v>
      </c>
      <c r="Q60" s="3334">
        <v>1028</v>
      </c>
      <c r="R60" s="3334">
        <v>728</v>
      </c>
      <c r="S60" s="3334">
        <v>856</v>
      </c>
      <c r="T60" s="3334">
        <v>835</v>
      </c>
      <c r="U60" s="3334">
        <v>752</v>
      </c>
      <c r="V60" s="3334">
        <v>845</v>
      </c>
      <c r="W60" s="3334">
        <v>925</v>
      </c>
      <c r="X60" s="3334">
        <v>919</v>
      </c>
      <c r="Y60" s="3334">
        <v>813</v>
      </c>
      <c r="Z60" s="3334">
        <v>935</v>
      </c>
      <c r="AA60" s="3335">
        <v>759</v>
      </c>
      <c r="AB60" s="3336">
        <v>1199</v>
      </c>
      <c r="AC60" s="3337">
        <v>857</v>
      </c>
      <c r="AD60" s="3337">
        <v>1043</v>
      </c>
      <c r="AE60" s="3337">
        <v>841</v>
      </c>
      <c r="AF60" s="3337">
        <v>873</v>
      </c>
      <c r="AG60" s="3337">
        <v>905</v>
      </c>
      <c r="AH60" s="3337">
        <v>964</v>
      </c>
      <c r="AI60" s="3337">
        <v>761</v>
      </c>
      <c r="AJ60" s="3337">
        <v>873</v>
      </c>
      <c r="AK60" s="3337">
        <v>845</v>
      </c>
      <c r="AL60" s="3337">
        <v>869</v>
      </c>
      <c r="AM60" s="3338">
        <v>782</v>
      </c>
      <c r="AN60" s="3339">
        <v>924</v>
      </c>
      <c r="AO60" s="3340">
        <v>1186</v>
      </c>
      <c r="AP60" s="3340">
        <v>910</v>
      </c>
      <c r="AQ60" s="3340">
        <v>828</v>
      </c>
      <c r="AR60" s="3340">
        <v>935</v>
      </c>
      <c r="AS60" s="3340">
        <v>820</v>
      </c>
      <c r="AT60" s="3340">
        <v>779</v>
      </c>
      <c r="AU60" s="3340">
        <v>919</v>
      </c>
      <c r="AV60" s="3340">
        <v>728</v>
      </c>
      <c r="AW60" s="3340">
        <v>943</v>
      </c>
      <c r="AX60" s="3340">
        <v>971</v>
      </c>
      <c r="AY60" s="3341">
        <v>681</v>
      </c>
      <c r="AZ60" s="3277">
        <v>724</v>
      </c>
      <c r="BA60" s="3277">
        <v>842</v>
      </c>
      <c r="BB60" s="3277">
        <v>1005</v>
      </c>
      <c r="BC60" s="3277">
        <v>954</v>
      </c>
      <c r="BD60" s="3277">
        <v>999</v>
      </c>
      <c r="BE60" s="3277">
        <v>933</v>
      </c>
      <c r="BF60" s="3277">
        <v>1055</v>
      </c>
      <c r="BG60" s="3277">
        <v>987</v>
      </c>
      <c r="BH60" s="3277">
        <v>933</v>
      </c>
      <c r="BI60" s="3277">
        <v>1124</v>
      </c>
      <c r="BJ60" s="3277">
        <v>1562</v>
      </c>
      <c r="BK60" s="3374">
        <v>831</v>
      </c>
      <c r="BL60" s="3344">
        <v>932</v>
      </c>
      <c r="BM60" s="3345">
        <v>818</v>
      </c>
      <c r="BN60" s="3345">
        <v>1172</v>
      </c>
      <c r="BO60" s="3345">
        <v>1112</v>
      </c>
      <c r="BP60" s="3345">
        <v>1238</v>
      </c>
      <c r="BQ60" s="3345">
        <v>1179</v>
      </c>
      <c r="BR60" s="3345">
        <v>1336</v>
      </c>
      <c r="BS60" s="3345">
        <v>1297</v>
      </c>
      <c r="BT60" s="3346">
        <v>1381</v>
      </c>
      <c r="BU60" s="3346">
        <v>1530</v>
      </c>
      <c r="BV60" s="3346">
        <v>1372</v>
      </c>
      <c r="BW60" s="3347">
        <v>931</v>
      </c>
      <c r="BX60" s="3348">
        <v>1248</v>
      </c>
      <c r="BY60" s="3273">
        <v>1342</v>
      </c>
      <c r="BZ60" s="3273">
        <v>1370</v>
      </c>
      <c r="CA60" s="3273">
        <v>1459</v>
      </c>
      <c r="CB60" s="3273">
        <v>1709</v>
      </c>
      <c r="CC60" s="3273">
        <v>1759</v>
      </c>
      <c r="CD60" s="3273">
        <v>1941</v>
      </c>
      <c r="CE60" s="3273">
        <v>1512</v>
      </c>
      <c r="CF60" s="3273">
        <v>1510</v>
      </c>
      <c r="CG60" s="3273">
        <v>1280</v>
      </c>
      <c r="CH60" s="3273">
        <v>1258</v>
      </c>
      <c r="CI60" s="3275">
        <v>1183</v>
      </c>
      <c r="CJ60" s="3349">
        <v>1359</v>
      </c>
      <c r="CK60" s="3350">
        <v>2651</v>
      </c>
      <c r="CL60" s="3350">
        <v>1597</v>
      </c>
      <c r="CM60" s="3350">
        <v>1563</v>
      </c>
      <c r="CN60" s="3350">
        <v>1626</v>
      </c>
      <c r="CO60" s="3350">
        <v>1960</v>
      </c>
      <c r="CP60" s="3350">
        <v>1511</v>
      </c>
      <c r="CQ60" s="3350">
        <v>1434</v>
      </c>
      <c r="CR60" s="3350">
        <v>1571</v>
      </c>
      <c r="CS60" s="3350">
        <v>1512</v>
      </c>
      <c r="CT60" s="3350">
        <v>1614</v>
      </c>
      <c r="CU60" s="3351">
        <v>1304</v>
      </c>
      <c r="CV60" s="3349">
        <v>1201</v>
      </c>
      <c r="CW60" s="3350">
        <v>1299</v>
      </c>
      <c r="CX60" s="3272">
        <v>1352</v>
      </c>
      <c r="CY60" s="3272">
        <v>1279</v>
      </c>
      <c r="CZ60" s="3272">
        <v>1332</v>
      </c>
      <c r="DA60" s="3272">
        <v>1003</v>
      </c>
      <c r="DB60" s="3272">
        <v>1305</v>
      </c>
      <c r="DC60" s="3272">
        <v>1008</v>
      </c>
      <c r="DD60" s="3272">
        <v>1166</v>
      </c>
      <c r="DE60" s="3272">
        <v>1289</v>
      </c>
      <c r="DF60" s="3272">
        <v>1225</v>
      </c>
      <c r="DG60" s="3351">
        <v>1000</v>
      </c>
      <c r="DH60" s="3352">
        <v>1181</v>
      </c>
      <c r="DI60" s="3353">
        <v>1107</v>
      </c>
      <c r="DJ60" s="3353">
        <v>1047</v>
      </c>
      <c r="DK60" s="3354">
        <v>865</v>
      </c>
      <c r="DL60" s="3354">
        <v>996</v>
      </c>
      <c r="DM60" s="3354">
        <v>1029</v>
      </c>
      <c r="DN60" s="3354">
        <v>1026</v>
      </c>
      <c r="DO60" s="3354">
        <v>985</v>
      </c>
      <c r="DP60" s="2556">
        <v>1164</v>
      </c>
      <c r="DQ60" s="3354">
        <v>1353</v>
      </c>
      <c r="DR60" s="3354">
        <v>1188</v>
      </c>
      <c r="DS60" s="3355">
        <v>896</v>
      </c>
      <c r="DT60" s="3356">
        <v>1029</v>
      </c>
      <c r="DU60" s="3243">
        <v>798</v>
      </c>
      <c r="DV60" s="3243">
        <v>1288</v>
      </c>
      <c r="DW60" s="3164">
        <v>1344</v>
      </c>
      <c r="DX60" s="3164">
        <v>1295</v>
      </c>
      <c r="DY60" s="3164">
        <v>1374</v>
      </c>
      <c r="DZ60" s="3164">
        <v>1410</v>
      </c>
      <c r="EA60" s="3164">
        <v>1173</v>
      </c>
      <c r="EB60" s="3164">
        <v>1723</v>
      </c>
      <c r="EC60" s="3164">
        <v>1669</v>
      </c>
      <c r="ED60" s="3164">
        <v>1302</v>
      </c>
      <c r="EE60" s="3163">
        <v>1261</v>
      </c>
      <c r="EF60" s="2532">
        <v>1555</v>
      </c>
      <c r="EG60" s="2531">
        <v>1225</v>
      </c>
      <c r="EH60" s="2531">
        <v>1478</v>
      </c>
      <c r="EI60" s="2531">
        <v>1463</v>
      </c>
      <c r="EJ60" s="2531">
        <v>1596</v>
      </c>
      <c r="EK60" s="2531">
        <v>1775</v>
      </c>
      <c r="EL60" s="2531">
        <v>1486</v>
      </c>
      <c r="EM60" s="2557">
        <v>1271</v>
      </c>
      <c r="EN60" s="2557">
        <v>1312</v>
      </c>
      <c r="EO60" s="2558">
        <v>1756</v>
      </c>
      <c r="EP60" s="2558">
        <v>1294</v>
      </c>
      <c r="EQ60" s="2559">
        <v>1227</v>
      </c>
      <c r="ER60" s="1320">
        <v>1128</v>
      </c>
      <c r="ES60" s="3357">
        <v>1306</v>
      </c>
      <c r="ET60" s="3357">
        <v>1156</v>
      </c>
      <c r="EU60" s="2560">
        <v>1277</v>
      </c>
      <c r="EV60" s="2104">
        <v>1495</v>
      </c>
      <c r="EW60" s="2104">
        <v>2157</v>
      </c>
      <c r="EX60" s="2104">
        <v>1553</v>
      </c>
      <c r="EY60" s="2104">
        <v>1363</v>
      </c>
      <c r="EZ60" s="2104">
        <v>1780</v>
      </c>
      <c r="FA60" s="2275">
        <v>1568</v>
      </c>
      <c r="FB60" s="2275">
        <v>1727</v>
      </c>
      <c r="FC60" s="2275">
        <v>1580</v>
      </c>
      <c r="FD60" s="2608">
        <v>1581</v>
      </c>
      <c r="FE60" s="2609">
        <v>1552</v>
      </c>
      <c r="FF60" s="2609">
        <v>622</v>
      </c>
      <c r="FG60" s="2609">
        <v>9</v>
      </c>
      <c r="FH60" s="2609">
        <v>9</v>
      </c>
      <c r="FI60" s="2609">
        <v>10</v>
      </c>
      <c r="FJ60" s="2609">
        <v>37</v>
      </c>
      <c r="FK60" s="2609">
        <v>81</v>
      </c>
      <c r="FL60" s="2609">
        <v>96</v>
      </c>
      <c r="FM60" s="2609">
        <v>728</v>
      </c>
      <c r="FN60" s="2609">
        <v>365</v>
      </c>
      <c r="FO60" s="2610">
        <v>501</v>
      </c>
      <c r="FP60" s="2608">
        <v>409</v>
      </c>
      <c r="FQ60" s="2609">
        <v>230</v>
      </c>
      <c r="FR60" s="2609">
        <v>254</v>
      </c>
      <c r="FS60" s="2609">
        <v>310</v>
      </c>
      <c r="FT60" s="2609">
        <v>595</v>
      </c>
      <c r="FU60" s="2609"/>
      <c r="FV60" s="2609"/>
      <c r="FW60" s="2609"/>
      <c r="FX60" s="2609"/>
      <c r="FY60" s="2609"/>
      <c r="FZ60" s="2609"/>
      <c r="GA60" s="2614"/>
      <c r="GB60" s="2607"/>
      <c r="GC60" s="2754">
        <v>1880</v>
      </c>
      <c r="GD60" s="2755">
        <v>1984</v>
      </c>
      <c r="GE60" s="2755">
        <v>2537</v>
      </c>
      <c r="GF60" s="2756">
        <v>2378</v>
      </c>
      <c r="GG60" s="2757">
        <v>2412</v>
      </c>
      <c r="GH60" s="2758">
        <v>2443</v>
      </c>
      <c r="GI60" s="2758">
        <v>2689</v>
      </c>
      <c r="GJ60" s="2759">
        <v>2507</v>
      </c>
      <c r="GK60" s="2760">
        <v>3099</v>
      </c>
      <c r="GL60" s="2761">
        <v>2619</v>
      </c>
      <c r="GM60" s="2762">
        <v>2598</v>
      </c>
      <c r="GN60" s="2762">
        <v>2496</v>
      </c>
      <c r="GO60" s="2763">
        <v>3020</v>
      </c>
      <c r="GP60" s="2764">
        <v>2583</v>
      </c>
      <c r="GQ60" s="2764">
        <v>2426</v>
      </c>
      <c r="GR60" s="2765">
        <v>2595</v>
      </c>
      <c r="GS60" s="2766">
        <v>2571</v>
      </c>
      <c r="GT60" s="2767">
        <v>2886</v>
      </c>
      <c r="GU60" s="2767">
        <v>2975</v>
      </c>
      <c r="GV60" s="2768">
        <v>3517</v>
      </c>
      <c r="GW60" s="2764">
        <v>2922</v>
      </c>
      <c r="GX60" s="2764">
        <v>3529</v>
      </c>
      <c r="GY60" s="2764">
        <v>4014</v>
      </c>
      <c r="GZ60" s="2764">
        <v>3833</v>
      </c>
      <c r="HA60" s="2769">
        <v>3960</v>
      </c>
      <c r="HB60" s="2769">
        <v>4927</v>
      </c>
      <c r="HC60" s="2769">
        <v>4963</v>
      </c>
      <c r="HD60" s="2769">
        <v>3721</v>
      </c>
      <c r="HE60" s="2770">
        <v>5607</v>
      </c>
      <c r="HF60" s="2770">
        <v>5149</v>
      </c>
      <c r="HG60" s="2770">
        <f t="shared" si="17"/>
        <v>4516</v>
      </c>
      <c r="HH60" s="2770">
        <v>4430</v>
      </c>
      <c r="HI60" s="2771">
        <v>3852</v>
      </c>
      <c r="HJ60" s="2771">
        <f t="shared" si="18"/>
        <v>3614</v>
      </c>
      <c r="HK60" s="2771">
        <f t="shared" si="19"/>
        <v>3479</v>
      </c>
      <c r="HL60" s="2770">
        <f t="shared" si="20"/>
        <v>3514</v>
      </c>
      <c r="HM60" s="2689">
        <f t="shared" si="21"/>
        <v>3335</v>
      </c>
      <c r="HN60" s="2689">
        <f t="shared" si="22"/>
        <v>2890</v>
      </c>
      <c r="HO60" s="2689">
        <f t="shared" si="23"/>
        <v>2907</v>
      </c>
      <c r="HP60" s="2689">
        <f t="shared" si="24"/>
        <v>3437</v>
      </c>
      <c r="HQ60" s="2764">
        <f t="shared" si="25"/>
        <v>3115</v>
      </c>
      <c r="HR60" s="2764">
        <f t="shared" si="26"/>
        <v>4013</v>
      </c>
      <c r="HS60" s="2764">
        <f t="shared" si="27"/>
        <v>4306</v>
      </c>
      <c r="HT60" s="2764">
        <f t="shared" si="28"/>
        <v>4232</v>
      </c>
      <c r="HU60" s="2772">
        <f t="shared" si="29"/>
        <v>4258</v>
      </c>
      <c r="HV60" s="2769">
        <f t="shared" si="30"/>
        <v>4834</v>
      </c>
      <c r="HW60" s="2769">
        <f t="shared" si="31"/>
        <v>4069</v>
      </c>
      <c r="HX60" s="2769">
        <f t="shared" si="32"/>
        <v>4277</v>
      </c>
      <c r="HY60" s="2773">
        <f t="shared" si="33"/>
        <v>3590</v>
      </c>
      <c r="HZ60" s="2774">
        <f t="shared" si="34"/>
        <v>4929</v>
      </c>
      <c r="IA60" s="2774">
        <f t="shared" si="35"/>
        <v>4696</v>
      </c>
      <c r="IB60" s="2774">
        <f t="shared" si="36"/>
        <v>4875</v>
      </c>
      <c r="IC60" s="2775">
        <f t="shared" si="47"/>
        <v>3755</v>
      </c>
      <c r="ID60" s="2776">
        <f t="shared" si="48"/>
        <v>28</v>
      </c>
      <c r="IE60" s="2776">
        <f t="shared" si="49"/>
        <v>4696</v>
      </c>
      <c r="IF60" s="2777">
        <f t="shared" si="50"/>
        <v>1594</v>
      </c>
      <c r="IG60" s="2772">
        <f t="shared" si="51"/>
        <v>893</v>
      </c>
      <c r="IH60" s="2769">
        <f t="shared" si="52"/>
        <v>905</v>
      </c>
      <c r="II60" s="2769">
        <f t="shared" si="53"/>
        <v>0</v>
      </c>
      <c r="IJ60" s="2769">
        <f t="shared" si="54"/>
        <v>0</v>
      </c>
      <c r="IK60" s="2578"/>
      <c r="IL60" s="3358">
        <v>8779</v>
      </c>
      <c r="IM60" s="3359">
        <v>10051</v>
      </c>
      <c r="IN60" s="3359">
        <v>10812</v>
      </c>
      <c r="IO60" s="3359">
        <v>10624</v>
      </c>
      <c r="IP60" s="3359">
        <v>11949</v>
      </c>
      <c r="IQ60" s="3359">
        <v>14298</v>
      </c>
      <c r="IR60" s="3360">
        <v>17571</v>
      </c>
      <c r="IS60" s="3361">
        <v>19702</v>
      </c>
      <c r="IT60" s="3361">
        <f t="shared" si="37"/>
        <v>14459</v>
      </c>
      <c r="IU60" s="3361">
        <f t="shared" si="38"/>
        <v>12837</v>
      </c>
      <c r="IV60" s="3361">
        <f t="shared" si="39"/>
        <v>15666</v>
      </c>
      <c r="IW60" s="3361">
        <f t="shared" si="40"/>
        <v>17438</v>
      </c>
      <c r="IX60" s="3362">
        <f t="shared" si="55"/>
        <v>18090</v>
      </c>
      <c r="IY60" s="3380">
        <f t="shared" si="41"/>
        <v>5591</v>
      </c>
      <c r="IZ60" s="3378">
        <f t="shared" si="57"/>
        <v>3097</v>
      </c>
      <c r="JA60" s="3579">
        <f t="shared" si="58"/>
        <v>1798</v>
      </c>
      <c r="JC60" s="3365">
        <f t="shared" si="59"/>
        <v>4344</v>
      </c>
      <c r="JD60" s="3366">
        <f t="shared" si="42"/>
        <v>2.0453263567793558E-2</v>
      </c>
      <c r="JE60" s="3366">
        <f t="shared" si="43"/>
        <v>2.3993346923334932E-2</v>
      </c>
      <c r="JF60" s="3366">
        <f t="shared" si="60"/>
        <v>2.5479624190885314E-2</v>
      </c>
      <c r="JG60" s="3366">
        <f t="shared" si="56"/>
        <v>2.6432297374304126E-2</v>
      </c>
      <c r="JH60" s="3366">
        <f t="shared" si="61"/>
        <v>2.9361874202408399E-2</v>
      </c>
      <c r="JI60" s="3379">
        <f t="shared" si="62"/>
        <v>1.1021509202977979E-2</v>
      </c>
      <c r="JJ60" s="3366"/>
      <c r="JK60" s="3368">
        <f t="shared" si="44"/>
        <v>0.22037859312923591</v>
      </c>
      <c r="JL60" s="3369">
        <f t="shared" si="45"/>
        <v>-0.66160317831268989</v>
      </c>
      <c r="JM60" s="3369">
        <f t="shared" si="46"/>
        <v>0.11311119622111576</v>
      </c>
      <c r="JN60" s="3369">
        <f t="shared" si="46"/>
        <v>3.7389608900103122E-2</v>
      </c>
      <c r="JO60" s="3369">
        <f t="shared" si="46"/>
        <v>-0.69093421779988939</v>
      </c>
      <c r="JP60" s="3370">
        <f t="shared" si="63"/>
        <v>-0.82880044223327809</v>
      </c>
      <c r="JQ60" s="3371">
        <f t="shared" si="64"/>
        <v>-0.44607404757646218</v>
      </c>
      <c r="JS60" s="3045"/>
      <c r="JT60" s="3045"/>
      <c r="JU60" s="3045"/>
      <c r="JV60" s="3045"/>
      <c r="JW60" s="3045"/>
      <c r="JX60" s="3045"/>
      <c r="JY60" s="3045"/>
      <c r="JZ60" s="3045"/>
      <c r="KA60" s="3045"/>
      <c r="KB60" s="3045"/>
      <c r="KC60" s="3045"/>
      <c r="KD60" s="3045"/>
      <c r="KE60" s="3045"/>
      <c r="KF60" s="3045"/>
      <c r="KG60" s="3045"/>
      <c r="KH60" s="3045"/>
      <c r="KI60" s="3045"/>
      <c r="KJ60" s="3045"/>
      <c r="KK60" s="3045"/>
      <c r="KL60" s="3045"/>
      <c r="KM60" s="3045"/>
      <c r="KN60" s="3045"/>
      <c r="KO60" s="3045"/>
    </row>
    <row r="61" spans="1:301" ht="21.9" customHeight="1">
      <c r="A61" s="3372"/>
      <c r="B61" s="3045"/>
      <c r="C61" s="3373" t="s">
        <v>49</v>
      </c>
      <c r="D61" s="3330">
        <v>1260</v>
      </c>
      <c r="E61" s="3331">
        <v>1276</v>
      </c>
      <c r="F61" s="3331">
        <v>1273</v>
      </c>
      <c r="G61" s="3331">
        <v>1609</v>
      </c>
      <c r="H61" s="3331">
        <v>1342</v>
      </c>
      <c r="I61" s="3331">
        <v>1217</v>
      </c>
      <c r="J61" s="3331">
        <v>2417</v>
      </c>
      <c r="K61" s="3331">
        <v>1711</v>
      </c>
      <c r="L61" s="3331">
        <v>1389</v>
      </c>
      <c r="M61" s="3331">
        <v>1689</v>
      </c>
      <c r="N61" s="3331">
        <v>1780</v>
      </c>
      <c r="O61" s="3332">
        <v>1105</v>
      </c>
      <c r="P61" s="3333">
        <v>1501</v>
      </c>
      <c r="Q61" s="3334">
        <v>2067</v>
      </c>
      <c r="R61" s="3334">
        <v>1748</v>
      </c>
      <c r="S61" s="3334">
        <v>1878</v>
      </c>
      <c r="T61" s="3334">
        <v>1744</v>
      </c>
      <c r="U61" s="3334">
        <v>1450</v>
      </c>
      <c r="V61" s="3334">
        <v>2185</v>
      </c>
      <c r="W61" s="3334">
        <v>1787</v>
      </c>
      <c r="X61" s="3334">
        <v>1529</v>
      </c>
      <c r="Y61" s="3334">
        <v>1653</v>
      </c>
      <c r="Z61" s="3334">
        <v>1668</v>
      </c>
      <c r="AA61" s="3335">
        <v>1114</v>
      </c>
      <c r="AB61" s="3336">
        <v>1499</v>
      </c>
      <c r="AC61" s="3337">
        <v>1325</v>
      </c>
      <c r="AD61" s="3337">
        <v>1263</v>
      </c>
      <c r="AE61" s="3337">
        <v>1502</v>
      </c>
      <c r="AF61" s="3337">
        <v>1439.5</v>
      </c>
      <c r="AG61" s="3337">
        <v>1377</v>
      </c>
      <c r="AH61" s="3337">
        <v>2221</v>
      </c>
      <c r="AI61" s="3337">
        <v>1438</v>
      </c>
      <c r="AJ61" s="3337">
        <v>1140</v>
      </c>
      <c r="AK61" s="3337">
        <v>1561</v>
      </c>
      <c r="AL61" s="3337">
        <v>1508</v>
      </c>
      <c r="AM61" s="3338">
        <v>1164</v>
      </c>
      <c r="AN61" s="3339">
        <v>1064</v>
      </c>
      <c r="AO61" s="3340">
        <v>994</v>
      </c>
      <c r="AP61" s="3340">
        <v>1080</v>
      </c>
      <c r="AQ61" s="3340">
        <v>1258</v>
      </c>
      <c r="AR61" s="3340">
        <v>1059</v>
      </c>
      <c r="AS61" s="3340">
        <v>1091</v>
      </c>
      <c r="AT61" s="3340">
        <v>2091</v>
      </c>
      <c r="AU61" s="3340">
        <v>1225</v>
      </c>
      <c r="AV61" s="3340">
        <v>975</v>
      </c>
      <c r="AW61" s="3340">
        <v>1230</v>
      </c>
      <c r="AX61" s="3340">
        <v>1152</v>
      </c>
      <c r="AY61" s="3341">
        <v>925</v>
      </c>
      <c r="AZ61" s="3277">
        <v>1025</v>
      </c>
      <c r="BA61" s="3277">
        <v>900</v>
      </c>
      <c r="BB61" s="3277">
        <v>988</v>
      </c>
      <c r="BC61" s="3277">
        <v>1272</v>
      </c>
      <c r="BD61" s="3277">
        <v>1126</v>
      </c>
      <c r="BE61" s="3277">
        <v>1015</v>
      </c>
      <c r="BF61" s="3277">
        <v>2074</v>
      </c>
      <c r="BG61" s="3277">
        <v>1207</v>
      </c>
      <c r="BH61" s="3277">
        <v>944</v>
      </c>
      <c r="BI61" s="3277">
        <v>1417</v>
      </c>
      <c r="BJ61" s="3277">
        <v>1382</v>
      </c>
      <c r="BK61" s="3374">
        <v>934</v>
      </c>
      <c r="BL61" s="3344">
        <v>898</v>
      </c>
      <c r="BM61" s="3345">
        <v>919</v>
      </c>
      <c r="BN61" s="3345">
        <v>1062</v>
      </c>
      <c r="BO61" s="3345">
        <v>1197</v>
      </c>
      <c r="BP61" s="3345">
        <v>1156</v>
      </c>
      <c r="BQ61" s="3345">
        <v>1051</v>
      </c>
      <c r="BR61" s="3345">
        <v>1995</v>
      </c>
      <c r="BS61" s="3345">
        <v>1140</v>
      </c>
      <c r="BT61" s="3346">
        <v>909</v>
      </c>
      <c r="BU61" s="3346">
        <v>1154</v>
      </c>
      <c r="BV61" s="3346">
        <v>1295</v>
      </c>
      <c r="BW61" s="3347">
        <v>1103</v>
      </c>
      <c r="BX61" s="3348">
        <v>1090</v>
      </c>
      <c r="BY61" s="3273">
        <v>977</v>
      </c>
      <c r="BZ61" s="3273">
        <v>1157</v>
      </c>
      <c r="CA61" s="3273">
        <v>1135</v>
      </c>
      <c r="CB61" s="3273">
        <v>1253</v>
      </c>
      <c r="CC61" s="3273">
        <v>1120</v>
      </c>
      <c r="CD61" s="3273">
        <v>2381</v>
      </c>
      <c r="CE61" s="3273">
        <v>1417</v>
      </c>
      <c r="CF61" s="3273">
        <v>1070</v>
      </c>
      <c r="CG61" s="3273">
        <v>1403</v>
      </c>
      <c r="CH61" s="3273">
        <v>1588</v>
      </c>
      <c r="CI61" s="3275">
        <v>935</v>
      </c>
      <c r="CJ61" s="3349">
        <v>1166</v>
      </c>
      <c r="CK61" s="3350">
        <v>1197</v>
      </c>
      <c r="CL61" s="3350">
        <v>1218</v>
      </c>
      <c r="CM61" s="3350">
        <v>1543</v>
      </c>
      <c r="CN61" s="3350">
        <v>1497</v>
      </c>
      <c r="CO61" s="3350">
        <v>1386</v>
      </c>
      <c r="CP61" s="3350">
        <v>2484</v>
      </c>
      <c r="CQ61" s="3350">
        <v>1411</v>
      </c>
      <c r="CR61" s="3350">
        <v>1179</v>
      </c>
      <c r="CS61" s="3350">
        <v>1580</v>
      </c>
      <c r="CT61" s="3350">
        <v>1532</v>
      </c>
      <c r="CU61" s="3351">
        <v>1130</v>
      </c>
      <c r="CV61" s="3349">
        <v>1217</v>
      </c>
      <c r="CW61" s="3350">
        <v>1190</v>
      </c>
      <c r="CX61" s="3272">
        <v>1225</v>
      </c>
      <c r="CY61" s="3272">
        <v>1363</v>
      </c>
      <c r="CZ61" s="3272">
        <v>1425</v>
      </c>
      <c r="DA61" s="3272">
        <v>1441</v>
      </c>
      <c r="DB61" s="3272">
        <v>2802</v>
      </c>
      <c r="DC61" s="3272">
        <v>1381</v>
      </c>
      <c r="DD61" s="3272">
        <v>1092</v>
      </c>
      <c r="DE61" s="3272">
        <v>1519</v>
      </c>
      <c r="DF61" s="3272">
        <v>1658</v>
      </c>
      <c r="DG61" s="3351">
        <v>1266</v>
      </c>
      <c r="DH61" s="3352">
        <v>1300</v>
      </c>
      <c r="DI61" s="3353">
        <v>1442</v>
      </c>
      <c r="DJ61" s="3353">
        <v>1528</v>
      </c>
      <c r="DK61" s="3354">
        <v>1307</v>
      </c>
      <c r="DL61" s="3354">
        <v>1382</v>
      </c>
      <c r="DM61" s="3354">
        <v>1465</v>
      </c>
      <c r="DN61" s="3354">
        <v>2920</v>
      </c>
      <c r="DO61" s="3354">
        <v>1383</v>
      </c>
      <c r="DP61" s="2556">
        <v>1079</v>
      </c>
      <c r="DQ61" s="3354">
        <v>1606</v>
      </c>
      <c r="DR61" s="3354">
        <v>1282</v>
      </c>
      <c r="DS61" s="3355">
        <v>964</v>
      </c>
      <c r="DT61" s="3356">
        <v>1117</v>
      </c>
      <c r="DU61" s="3243">
        <v>1160</v>
      </c>
      <c r="DV61" s="3243">
        <v>1175</v>
      </c>
      <c r="DW61" s="3164">
        <v>1542</v>
      </c>
      <c r="DX61" s="3164">
        <v>1184</v>
      </c>
      <c r="DY61" s="3164">
        <v>1335</v>
      </c>
      <c r="DZ61" s="3164">
        <v>2297</v>
      </c>
      <c r="EA61" s="3164">
        <v>1142</v>
      </c>
      <c r="EB61" s="3164">
        <v>1058</v>
      </c>
      <c r="EC61" s="3164">
        <v>1309</v>
      </c>
      <c r="ED61" s="3164">
        <v>1336</v>
      </c>
      <c r="EE61" s="3163">
        <v>1167</v>
      </c>
      <c r="EF61" s="2532">
        <v>1254</v>
      </c>
      <c r="EG61" s="2531">
        <v>1291</v>
      </c>
      <c r="EH61" s="2531">
        <v>1485</v>
      </c>
      <c r="EI61" s="2531">
        <v>1293</v>
      </c>
      <c r="EJ61" s="2531">
        <v>1573</v>
      </c>
      <c r="EK61" s="2531">
        <v>1297</v>
      </c>
      <c r="EL61" s="2531">
        <v>2452</v>
      </c>
      <c r="EM61" s="2557">
        <v>1513</v>
      </c>
      <c r="EN61" s="2557">
        <v>1089</v>
      </c>
      <c r="EO61" s="2558">
        <v>1329</v>
      </c>
      <c r="EP61" s="2558">
        <v>1462</v>
      </c>
      <c r="EQ61" s="2559">
        <v>1313</v>
      </c>
      <c r="ER61" s="1321">
        <v>1244</v>
      </c>
      <c r="ES61" s="3357">
        <v>1234</v>
      </c>
      <c r="ET61" s="3357">
        <v>1311</v>
      </c>
      <c r="EU61" s="2560">
        <v>1662</v>
      </c>
      <c r="EV61" s="2105">
        <v>1707</v>
      </c>
      <c r="EW61" s="2105">
        <v>1425</v>
      </c>
      <c r="EX61" s="2105">
        <v>2786</v>
      </c>
      <c r="EY61" s="2105">
        <v>1489</v>
      </c>
      <c r="EZ61" s="2105">
        <v>1465</v>
      </c>
      <c r="FA61" s="2275">
        <v>1380</v>
      </c>
      <c r="FB61" s="2275">
        <v>1705</v>
      </c>
      <c r="FC61" s="2275">
        <v>1455</v>
      </c>
      <c r="FD61" s="2608">
        <v>1574</v>
      </c>
      <c r="FE61" s="2609">
        <v>1589</v>
      </c>
      <c r="FF61" s="2609">
        <v>625</v>
      </c>
      <c r="FG61" s="2609">
        <v>10</v>
      </c>
      <c r="FH61" s="2609">
        <v>13</v>
      </c>
      <c r="FI61" s="2609">
        <v>43</v>
      </c>
      <c r="FJ61" s="2609">
        <v>111</v>
      </c>
      <c r="FK61" s="2609">
        <v>75</v>
      </c>
      <c r="FL61" s="2609">
        <v>83</v>
      </c>
      <c r="FM61" s="2609">
        <v>144</v>
      </c>
      <c r="FN61" s="2609">
        <v>168</v>
      </c>
      <c r="FO61" s="2610">
        <v>209</v>
      </c>
      <c r="FP61" s="2608">
        <v>127</v>
      </c>
      <c r="FQ61" s="2609">
        <v>84</v>
      </c>
      <c r="FR61" s="2609">
        <v>106</v>
      </c>
      <c r="FS61" s="2609">
        <v>88</v>
      </c>
      <c r="FT61" s="2609">
        <v>97</v>
      </c>
      <c r="FU61" s="2609"/>
      <c r="FV61" s="2609"/>
      <c r="FW61" s="2609"/>
      <c r="FX61" s="2609"/>
      <c r="FY61" s="2609"/>
      <c r="FZ61" s="2609"/>
      <c r="GA61" s="2614"/>
      <c r="GB61" s="2607"/>
      <c r="GC61" s="2754">
        <v>3809</v>
      </c>
      <c r="GD61" s="2755">
        <v>4168</v>
      </c>
      <c r="GE61" s="2755">
        <v>5517</v>
      </c>
      <c r="GF61" s="2756">
        <v>4574</v>
      </c>
      <c r="GG61" s="2757">
        <v>5316</v>
      </c>
      <c r="GH61" s="2758">
        <v>5072</v>
      </c>
      <c r="GI61" s="2758">
        <v>5501</v>
      </c>
      <c r="GJ61" s="2759">
        <v>4435</v>
      </c>
      <c r="GK61" s="2760">
        <v>4087</v>
      </c>
      <c r="GL61" s="2761">
        <v>4318.5</v>
      </c>
      <c r="GM61" s="2762">
        <v>4799</v>
      </c>
      <c r="GN61" s="2762">
        <v>4233</v>
      </c>
      <c r="GO61" s="2763">
        <v>3138</v>
      </c>
      <c r="GP61" s="2764">
        <v>3408</v>
      </c>
      <c r="GQ61" s="2764">
        <v>4291</v>
      </c>
      <c r="GR61" s="2765">
        <v>3307</v>
      </c>
      <c r="GS61" s="2766">
        <v>2913</v>
      </c>
      <c r="GT61" s="2767">
        <v>3413</v>
      </c>
      <c r="GU61" s="2767">
        <v>4225</v>
      </c>
      <c r="GV61" s="2768">
        <v>3733</v>
      </c>
      <c r="GW61" s="2764">
        <v>2879</v>
      </c>
      <c r="GX61" s="2764">
        <v>3404</v>
      </c>
      <c r="GY61" s="2764">
        <v>4044</v>
      </c>
      <c r="GZ61" s="2764">
        <v>3552</v>
      </c>
      <c r="HA61" s="2769">
        <v>3224</v>
      </c>
      <c r="HB61" s="2769">
        <v>3508</v>
      </c>
      <c r="HC61" s="2769">
        <v>4868</v>
      </c>
      <c r="HD61" s="2769">
        <v>3926</v>
      </c>
      <c r="HE61" s="2770">
        <v>3581</v>
      </c>
      <c r="HF61" s="2770">
        <v>4426</v>
      </c>
      <c r="HG61" s="2770">
        <f t="shared" si="17"/>
        <v>5074</v>
      </c>
      <c r="HH61" s="2770">
        <v>4242</v>
      </c>
      <c r="HI61" s="2771">
        <v>3632</v>
      </c>
      <c r="HJ61" s="2771">
        <f t="shared" si="18"/>
        <v>4229</v>
      </c>
      <c r="HK61" s="2771">
        <f t="shared" si="19"/>
        <v>5275</v>
      </c>
      <c r="HL61" s="2770">
        <f t="shared" si="20"/>
        <v>4443</v>
      </c>
      <c r="HM61" s="2689">
        <f t="shared" si="21"/>
        <v>4270</v>
      </c>
      <c r="HN61" s="2689">
        <f t="shared" si="22"/>
        <v>4154</v>
      </c>
      <c r="HO61" s="2689">
        <f t="shared" si="23"/>
        <v>5267</v>
      </c>
      <c r="HP61" s="2689">
        <f t="shared" si="24"/>
        <v>3852</v>
      </c>
      <c r="HQ61" s="2764">
        <f t="shared" si="25"/>
        <v>3452</v>
      </c>
      <c r="HR61" s="2764">
        <f t="shared" si="26"/>
        <v>4061</v>
      </c>
      <c r="HS61" s="2764">
        <f t="shared" si="27"/>
        <v>4497</v>
      </c>
      <c r="HT61" s="2764">
        <f t="shared" si="28"/>
        <v>3812</v>
      </c>
      <c r="HU61" s="2772">
        <f t="shared" si="29"/>
        <v>4030</v>
      </c>
      <c r="HV61" s="2769">
        <f t="shared" si="30"/>
        <v>4163</v>
      </c>
      <c r="HW61" s="2769">
        <f t="shared" si="31"/>
        <v>5054</v>
      </c>
      <c r="HX61" s="2769">
        <f t="shared" si="32"/>
        <v>4104</v>
      </c>
      <c r="HY61" s="2773">
        <f t="shared" si="33"/>
        <v>3789</v>
      </c>
      <c r="HZ61" s="2774">
        <f t="shared" si="34"/>
        <v>4794</v>
      </c>
      <c r="IA61" s="2774">
        <f t="shared" si="35"/>
        <v>5740</v>
      </c>
      <c r="IB61" s="2774">
        <f t="shared" si="36"/>
        <v>4540</v>
      </c>
      <c r="IC61" s="2775">
        <f t="shared" si="47"/>
        <v>3788</v>
      </c>
      <c r="ID61" s="2776">
        <f t="shared" si="48"/>
        <v>66</v>
      </c>
      <c r="IE61" s="2776">
        <f t="shared" si="49"/>
        <v>5740</v>
      </c>
      <c r="IF61" s="2777">
        <f t="shared" si="50"/>
        <v>521</v>
      </c>
      <c r="IG61" s="2772">
        <f t="shared" si="51"/>
        <v>317</v>
      </c>
      <c r="IH61" s="2769">
        <f t="shared" si="52"/>
        <v>185</v>
      </c>
      <c r="II61" s="2769">
        <f t="shared" si="53"/>
        <v>0</v>
      </c>
      <c r="IJ61" s="2769">
        <f t="shared" si="54"/>
        <v>0</v>
      </c>
      <c r="IK61" s="2578"/>
      <c r="IL61" s="3358">
        <v>18068</v>
      </c>
      <c r="IM61" s="3359">
        <v>20324</v>
      </c>
      <c r="IN61" s="3359">
        <v>17437.5</v>
      </c>
      <c r="IO61" s="3359">
        <v>14144</v>
      </c>
      <c r="IP61" s="3359">
        <v>14284</v>
      </c>
      <c r="IQ61" s="3359">
        <v>13879</v>
      </c>
      <c r="IR61" s="3360">
        <v>15526</v>
      </c>
      <c r="IS61" s="3361">
        <v>17323</v>
      </c>
      <c r="IT61" s="3361">
        <f t="shared" si="37"/>
        <v>17579</v>
      </c>
      <c r="IU61" s="3361">
        <f t="shared" si="38"/>
        <v>17658</v>
      </c>
      <c r="IV61" s="3361">
        <f t="shared" si="39"/>
        <v>15822</v>
      </c>
      <c r="IW61" s="3361">
        <f t="shared" si="40"/>
        <v>17351</v>
      </c>
      <c r="IX61" s="3362">
        <f t="shared" si="55"/>
        <v>18863</v>
      </c>
      <c r="IY61" s="3380">
        <f t="shared" si="41"/>
        <v>4644</v>
      </c>
      <c r="IZ61" s="3378">
        <f t="shared" si="57"/>
        <v>1692</v>
      </c>
      <c r="JA61" s="3579">
        <f t="shared" si="58"/>
        <v>502</v>
      </c>
      <c r="JC61" s="3365">
        <f t="shared" si="59"/>
        <v>3168</v>
      </c>
      <c r="JD61" s="3366">
        <f t="shared" si="42"/>
        <v>2.8134589707883358E-2</v>
      </c>
      <c r="JE61" s="3366">
        <f t="shared" si="43"/>
        <v>2.4232269566003144E-2</v>
      </c>
      <c r="JF61" s="3366">
        <f t="shared" si="60"/>
        <v>2.5352503689416852E-2</v>
      </c>
      <c r="JG61" s="3366">
        <f t="shared" si="56"/>
        <v>2.7561770335627348E-2</v>
      </c>
      <c r="JH61" s="3366">
        <f t="shared" si="61"/>
        <v>2.4388578750846827E-2</v>
      </c>
      <c r="JI61" s="3379">
        <f t="shared" si="62"/>
        <v>6.0214380275875811E-3</v>
      </c>
      <c r="JJ61" s="3366"/>
      <c r="JK61" s="3368">
        <f t="shared" si="44"/>
        <v>-0.10397553516819569</v>
      </c>
      <c r="JL61" s="3369">
        <f t="shared" si="45"/>
        <v>-0.82059123343527007</v>
      </c>
      <c r="JM61" s="3369">
        <f t="shared" si="46"/>
        <v>9.6637593224623952E-2</v>
      </c>
      <c r="JN61" s="3369">
        <f t="shared" si="46"/>
        <v>8.714195147253756E-2</v>
      </c>
      <c r="JO61" s="3369">
        <f t="shared" si="46"/>
        <v>-0.75380374277686479</v>
      </c>
      <c r="JP61" s="3370">
        <f t="shared" si="63"/>
        <v>-0.91030058845358641</v>
      </c>
      <c r="JQ61" s="3371">
        <f t="shared" si="64"/>
        <v>-0.63565891472868219</v>
      </c>
      <c r="JS61" s="3045"/>
      <c r="JT61" s="3045"/>
      <c r="JU61" s="3045"/>
      <c r="JV61" s="3045"/>
      <c r="JW61" s="3045"/>
      <c r="JX61" s="3045"/>
      <c r="JY61" s="3045"/>
      <c r="JZ61" s="3045"/>
      <c r="KA61" s="3045"/>
      <c r="KB61" s="3045"/>
      <c r="KC61" s="3045"/>
      <c r="KD61" s="3045"/>
      <c r="KE61" s="3045"/>
      <c r="KF61" s="3045"/>
      <c r="KG61" s="3045"/>
      <c r="KH61" s="3045"/>
      <c r="KI61" s="3045"/>
      <c r="KJ61" s="3045"/>
      <c r="KK61" s="3045"/>
      <c r="KL61" s="3045"/>
      <c r="KM61" s="3045"/>
      <c r="KN61" s="3045"/>
      <c r="KO61" s="3045"/>
    </row>
    <row r="62" spans="1:301" ht="21.9" customHeight="1">
      <c r="A62" s="3382"/>
      <c r="B62" s="3045"/>
      <c r="C62" s="3381" t="s">
        <v>10</v>
      </c>
      <c r="D62" s="3330">
        <v>789</v>
      </c>
      <c r="E62" s="3331">
        <v>633</v>
      </c>
      <c r="F62" s="3331">
        <v>790</v>
      </c>
      <c r="G62" s="3331">
        <v>531</v>
      </c>
      <c r="H62" s="3331">
        <v>677</v>
      </c>
      <c r="I62" s="3331">
        <v>720</v>
      </c>
      <c r="J62" s="3331">
        <v>840</v>
      </c>
      <c r="K62" s="3331">
        <v>638</v>
      </c>
      <c r="L62" s="3331">
        <v>799</v>
      </c>
      <c r="M62" s="3331">
        <v>895</v>
      </c>
      <c r="N62" s="3331">
        <v>815</v>
      </c>
      <c r="O62" s="3332">
        <v>556</v>
      </c>
      <c r="P62" s="3333">
        <v>877</v>
      </c>
      <c r="Q62" s="3334">
        <v>1083</v>
      </c>
      <c r="R62" s="3334">
        <v>783</v>
      </c>
      <c r="S62" s="3334">
        <v>893</v>
      </c>
      <c r="T62" s="3334">
        <v>1008</v>
      </c>
      <c r="U62" s="3334">
        <v>891</v>
      </c>
      <c r="V62" s="3334">
        <v>1034</v>
      </c>
      <c r="W62" s="3334">
        <v>977</v>
      </c>
      <c r="X62" s="3334">
        <v>828</v>
      </c>
      <c r="Y62" s="3334">
        <v>1198</v>
      </c>
      <c r="Z62" s="3334">
        <v>1047</v>
      </c>
      <c r="AA62" s="3335">
        <v>774</v>
      </c>
      <c r="AB62" s="3336">
        <v>1114</v>
      </c>
      <c r="AC62" s="3337">
        <v>722</v>
      </c>
      <c r="AD62" s="3337">
        <v>846</v>
      </c>
      <c r="AE62" s="3337">
        <v>796</v>
      </c>
      <c r="AF62" s="3337">
        <v>856</v>
      </c>
      <c r="AG62" s="3337">
        <v>916</v>
      </c>
      <c r="AH62" s="3337">
        <v>901</v>
      </c>
      <c r="AI62" s="3337">
        <v>883</v>
      </c>
      <c r="AJ62" s="3337">
        <v>875</v>
      </c>
      <c r="AK62" s="3337">
        <v>977</v>
      </c>
      <c r="AL62" s="3337">
        <v>967</v>
      </c>
      <c r="AM62" s="3338">
        <v>772</v>
      </c>
      <c r="AN62" s="3339">
        <v>1396</v>
      </c>
      <c r="AO62" s="3340">
        <v>1205</v>
      </c>
      <c r="AP62" s="3340">
        <v>912</v>
      </c>
      <c r="AQ62" s="3340">
        <v>908</v>
      </c>
      <c r="AR62" s="3340">
        <v>967</v>
      </c>
      <c r="AS62" s="3340">
        <v>882</v>
      </c>
      <c r="AT62" s="3340">
        <v>1056</v>
      </c>
      <c r="AU62" s="3340">
        <v>1101</v>
      </c>
      <c r="AV62" s="3340">
        <v>976</v>
      </c>
      <c r="AW62" s="3340">
        <v>1462</v>
      </c>
      <c r="AX62" s="3340">
        <v>1545</v>
      </c>
      <c r="AY62" s="3341">
        <v>986</v>
      </c>
      <c r="AZ62" s="3277">
        <v>1718</v>
      </c>
      <c r="BA62" s="3277">
        <v>934</v>
      </c>
      <c r="BB62" s="3277">
        <v>1091</v>
      </c>
      <c r="BC62" s="3277">
        <v>1046</v>
      </c>
      <c r="BD62" s="3277">
        <v>1461</v>
      </c>
      <c r="BE62" s="3277">
        <v>1069</v>
      </c>
      <c r="BF62" s="3277">
        <v>1551</v>
      </c>
      <c r="BG62" s="3277">
        <v>1104</v>
      </c>
      <c r="BH62" s="3277">
        <v>1190</v>
      </c>
      <c r="BI62" s="3277">
        <v>1136</v>
      </c>
      <c r="BJ62" s="3277">
        <v>1275</v>
      </c>
      <c r="BK62" s="3374">
        <v>1310</v>
      </c>
      <c r="BL62" s="3344">
        <v>1784</v>
      </c>
      <c r="BM62" s="3345">
        <v>1322</v>
      </c>
      <c r="BN62" s="3345">
        <v>1395</v>
      </c>
      <c r="BO62" s="3345">
        <v>1235</v>
      </c>
      <c r="BP62" s="3345">
        <v>1315</v>
      </c>
      <c r="BQ62" s="3345">
        <v>1332</v>
      </c>
      <c r="BR62" s="3345">
        <v>1518</v>
      </c>
      <c r="BS62" s="3345">
        <v>1259</v>
      </c>
      <c r="BT62" s="3346">
        <v>1472</v>
      </c>
      <c r="BU62" s="3346">
        <v>1367</v>
      </c>
      <c r="BV62" s="3346">
        <v>1601</v>
      </c>
      <c r="BW62" s="3347">
        <v>1254</v>
      </c>
      <c r="BX62" s="3348">
        <v>1879</v>
      </c>
      <c r="BY62" s="3273">
        <v>1503</v>
      </c>
      <c r="BZ62" s="3273">
        <v>1512</v>
      </c>
      <c r="CA62" s="3273">
        <v>1260</v>
      </c>
      <c r="CB62" s="3273">
        <v>1274</v>
      </c>
      <c r="CC62" s="3273">
        <v>1581</v>
      </c>
      <c r="CD62" s="3273">
        <v>1834</v>
      </c>
      <c r="CE62" s="3273">
        <v>1236</v>
      </c>
      <c r="CF62" s="3273">
        <v>1466</v>
      </c>
      <c r="CG62" s="3273">
        <v>1369</v>
      </c>
      <c r="CH62" s="3273">
        <v>1577</v>
      </c>
      <c r="CI62" s="3275">
        <v>2187</v>
      </c>
      <c r="CJ62" s="3349">
        <v>3220</v>
      </c>
      <c r="CK62" s="3350">
        <v>2071</v>
      </c>
      <c r="CL62" s="3350">
        <v>1743</v>
      </c>
      <c r="CM62" s="3350">
        <v>1363</v>
      </c>
      <c r="CN62" s="3350">
        <v>1349</v>
      </c>
      <c r="CO62" s="3350">
        <v>1063</v>
      </c>
      <c r="CP62" s="3350">
        <v>1787</v>
      </c>
      <c r="CQ62" s="3350">
        <v>1326</v>
      </c>
      <c r="CR62" s="3350">
        <v>1425</v>
      </c>
      <c r="CS62" s="3350">
        <v>1500</v>
      </c>
      <c r="CT62" s="3350">
        <v>1769</v>
      </c>
      <c r="CU62" s="3351">
        <v>2090</v>
      </c>
      <c r="CV62" s="3349">
        <v>3295</v>
      </c>
      <c r="CW62" s="3350">
        <v>2310</v>
      </c>
      <c r="CX62" s="3272">
        <v>2105</v>
      </c>
      <c r="CY62" s="3272">
        <v>1992</v>
      </c>
      <c r="CZ62" s="3272">
        <v>1818</v>
      </c>
      <c r="DA62" s="3272">
        <v>1519</v>
      </c>
      <c r="DB62" s="3272">
        <v>2089</v>
      </c>
      <c r="DC62" s="3272">
        <v>1660</v>
      </c>
      <c r="DD62" s="3272">
        <v>1946</v>
      </c>
      <c r="DE62" s="3272">
        <v>1568</v>
      </c>
      <c r="DF62" s="3272">
        <v>1851</v>
      </c>
      <c r="DG62" s="3351">
        <v>2065</v>
      </c>
      <c r="DH62" s="3352">
        <v>3139</v>
      </c>
      <c r="DI62" s="3353">
        <v>2105</v>
      </c>
      <c r="DJ62" s="3353">
        <v>1755</v>
      </c>
      <c r="DK62" s="3354">
        <v>1363</v>
      </c>
      <c r="DL62" s="3354">
        <v>1165</v>
      </c>
      <c r="DM62" s="3354">
        <v>1203</v>
      </c>
      <c r="DN62" s="3354">
        <v>1589</v>
      </c>
      <c r="DO62" s="3354">
        <v>910</v>
      </c>
      <c r="DP62" s="2556">
        <v>1071</v>
      </c>
      <c r="DQ62" s="3354">
        <v>1410</v>
      </c>
      <c r="DR62" s="3354">
        <v>1145</v>
      </c>
      <c r="DS62" s="3355">
        <v>1173</v>
      </c>
      <c r="DT62" s="3356">
        <v>2221</v>
      </c>
      <c r="DU62" s="3243">
        <v>1653</v>
      </c>
      <c r="DV62" s="3243">
        <v>1131</v>
      </c>
      <c r="DW62" s="3164">
        <v>1119</v>
      </c>
      <c r="DX62" s="3164">
        <v>1057</v>
      </c>
      <c r="DY62" s="3164">
        <v>1011</v>
      </c>
      <c r="DZ62" s="3164">
        <v>1532</v>
      </c>
      <c r="EA62" s="3164">
        <v>1043</v>
      </c>
      <c r="EB62" s="3164">
        <v>1075</v>
      </c>
      <c r="EC62" s="3164">
        <v>1444</v>
      </c>
      <c r="ED62" s="3164">
        <v>1289</v>
      </c>
      <c r="EE62" s="3163">
        <v>1447</v>
      </c>
      <c r="EF62" s="2532">
        <v>1936</v>
      </c>
      <c r="EG62" s="2531">
        <v>1243</v>
      </c>
      <c r="EH62" s="2531">
        <v>1312</v>
      </c>
      <c r="EI62" s="2531">
        <v>1222</v>
      </c>
      <c r="EJ62" s="2531">
        <v>1260</v>
      </c>
      <c r="EK62" s="2531">
        <v>1287</v>
      </c>
      <c r="EL62" s="2531">
        <v>1555</v>
      </c>
      <c r="EM62" s="2557">
        <v>855</v>
      </c>
      <c r="EN62" s="2557">
        <v>1160</v>
      </c>
      <c r="EO62" s="2558">
        <v>1155</v>
      </c>
      <c r="EP62" s="2558">
        <v>1121</v>
      </c>
      <c r="EQ62" s="2559">
        <v>1093</v>
      </c>
      <c r="ER62" s="1320">
        <v>1355</v>
      </c>
      <c r="ES62" s="3357">
        <v>948</v>
      </c>
      <c r="ET62" s="3357">
        <v>998</v>
      </c>
      <c r="EU62" s="2560">
        <v>1768</v>
      </c>
      <c r="EV62" s="2104">
        <v>1123</v>
      </c>
      <c r="EW62" s="2104">
        <v>1251</v>
      </c>
      <c r="EX62" s="2104">
        <v>1375</v>
      </c>
      <c r="EY62" s="2104">
        <v>1547</v>
      </c>
      <c r="EZ62" s="2104">
        <v>1387</v>
      </c>
      <c r="FA62" s="2275">
        <v>1045</v>
      </c>
      <c r="FB62" s="2275">
        <v>1297</v>
      </c>
      <c r="FC62" s="2275">
        <v>1336</v>
      </c>
      <c r="FD62" s="2615">
        <v>1535</v>
      </c>
      <c r="FE62" s="2616">
        <v>1245</v>
      </c>
      <c r="FF62" s="2616">
        <v>601</v>
      </c>
      <c r="FG62" s="2616">
        <v>8</v>
      </c>
      <c r="FH62" s="2616">
        <v>13</v>
      </c>
      <c r="FI62" s="2616">
        <v>16</v>
      </c>
      <c r="FJ62" s="2616">
        <v>20</v>
      </c>
      <c r="FK62" s="2616">
        <v>18</v>
      </c>
      <c r="FL62" s="2616">
        <v>66</v>
      </c>
      <c r="FM62" s="2616">
        <v>114</v>
      </c>
      <c r="FN62" s="2616">
        <v>147</v>
      </c>
      <c r="FO62" s="2617">
        <v>285</v>
      </c>
      <c r="FP62" s="2615">
        <v>391</v>
      </c>
      <c r="FQ62" s="2616">
        <v>262</v>
      </c>
      <c r="FR62" s="2616">
        <v>281</v>
      </c>
      <c r="FS62" s="2616">
        <v>217</v>
      </c>
      <c r="FT62" s="2616">
        <v>229</v>
      </c>
      <c r="FU62" s="2616"/>
      <c r="FV62" s="2616"/>
      <c r="FW62" s="2616"/>
      <c r="FX62" s="2616"/>
      <c r="FY62" s="2616"/>
      <c r="FZ62" s="2616"/>
      <c r="GA62" s="2618"/>
      <c r="GB62" s="2607"/>
      <c r="GC62" s="2754">
        <v>2212</v>
      </c>
      <c r="GD62" s="2755">
        <v>1928</v>
      </c>
      <c r="GE62" s="2755">
        <v>2277</v>
      </c>
      <c r="GF62" s="2756">
        <v>2266</v>
      </c>
      <c r="GG62" s="2757">
        <v>2743</v>
      </c>
      <c r="GH62" s="2758">
        <v>2792</v>
      </c>
      <c r="GI62" s="2758">
        <v>2839</v>
      </c>
      <c r="GJ62" s="2759">
        <v>3019</v>
      </c>
      <c r="GK62" s="2760">
        <v>2682</v>
      </c>
      <c r="GL62" s="2761">
        <v>2568</v>
      </c>
      <c r="GM62" s="2762">
        <v>2659</v>
      </c>
      <c r="GN62" s="2762">
        <v>2716</v>
      </c>
      <c r="GO62" s="2763">
        <v>3513</v>
      </c>
      <c r="GP62" s="2764">
        <v>2757</v>
      </c>
      <c r="GQ62" s="2764">
        <v>3133</v>
      </c>
      <c r="GR62" s="2765">
        <v>3993</v>
      </c>
      <c r="GS62" s="2766">
        <v>3743</v>
      </c>
      <c r="GT62" s="2767">
        <v>3576</v>
      </c>
      <c r="GU62" s="2767">
        <v>3845</v>
      </c>
      <c r="GV62" s="2768">
        <v>3721</v>
      </c>
      <c r="GW62" s="2764">
        <v>4501</v>
      </c>
      <c r="GX62" s="2764">
        <v>3882</v>
      </c>
      <c r="GY62" s="2764">
        <v>4249</v>
      </c>
      <c r="GZ62" s="2764">
        <v>4222</v>
      </c>
      <c r="HA62" s="2769">
        <v>4894</v>
      </c>
      <c r="HB62" s="2769">
        <v>4115</v>
      </c>
      <c r="HC62" s="2769">
        <v>4536</v>
      </c>
      <c r="HD62" s="2769">
        <v>5133</v>
      </c>
      <c r="HE62" s="2770">
        <v>7034</v>
      </c>
      <c r="HF62" s="2770">
        <v>3775</v>
      </c>
      <c r="HG62" s="2770">
        <f t="shared" si="17"/>
        <v>4538</v>
      </c>
      <c r="HH62" s="2770">
        <v>5359</v>
      </c>
      <c r="HI62" s="2771">
        <v>7710</v>
      </c>
      <c r="HJ62" s="2771">
        <f t="shared" si="18"/>
        <v>5329</v>
      </c>
      <c r="HK62" s="2771">
        <f t="shared" si="19"/>
        <v>5695</v>
      </c>
      <c r="HL62" s="2770">
        <f t="shared" si="20"/>
        <v>5484</v>
      </c>
      <c r="HM62" s="2689">
        <f t="shared" si="21"/>
        <v>6999</v>
      </c>
      <c r="HN62" s="2689">
        <f t="shared" si="22"/>
        <v>3731</v>
      </c>
      <c r="HO62" s="2689">
        <f t="shared" si="23"/>
        <v>3672</v>
      </c>
      <c r="HP62" s="2689">
        <f t="shared" si="24"/>
        <v>3728</v>
      </c>
      <c r="HQ62" s="2764">
        <f t="shared" si="25"/>
        <v>5005</v>
      </c>
      <c r="HR62" s="2764">
        <f t="shared" si="26"/>
        <v>3187</v>
      </c>
      <c r="HS62" s="2764">
        <f t="shared" si="27"/>
        <v>3650</v>
      </c>
      <c r="HT62" s="2764">
        <f t="shared" si="28"/>
        <v>4180</v>
      </c>
      <c r="HU62" s="2772">
        <f t="shared" si="29"/>
        <v>4491</v>
      </c>
      <c r="HV62" s="2769">
        <f t="shared" si="30"/>
        <v>3769</v>
      </c>
      <c r="HW62" s="2769">
        <f t="shared" si="31"/>
        <v>3570</v>
      </c>
      <c r="HX62" s="2769">
        <f t="shared" si="32"/>
        <v>3369</v>
      </c>
      <c r="HY62" s="2773">
        <f t="shared" si="33"/>
        <v>3301</v>
      </c>
      <c r="HZ62" s="2774">
        <f t="shared" si="34"/>
        <v>4142</v>
      </c>
      <c r="IA62" s="2774">
        <f t="shared" si="35"/>
        <v>4309</v>
      </c>
      <c r="IB62" s="2774">
        <f t="shared" si="36"/>
        <v>3678</v>
      </c>
      <c r="IC62" s="2775">
        <f>FD62+FE62+FF62</f>
        <v>3381</v>
      </c>
      <c r="ID62" s="2776">
        <f>FG62+FH62+FI62</f>
        <v>37</v>
      </c>
      <c r="IE62" s="2776">
        <f>EX62+EY62+EZ62</f>
        <v>4309</v>
      </c>
      <c r="IF62" s="2777">
        <f>FM62+FN62+FO62</f>
        <v>546</v>
      </c>
      <c r="IG62" s="2772">
        <f t="shared" si="51"/>
        <v>934</v>
      </c>
      <c r="IH62" s="2769">
        <f t="shared" si="52"/>
        <v>446</v>
      </c>
      <c r="II62" s="2769">
        <f t="shared" si="53"/>
        <v>0</v>
      </c>
      <c r="IJ62" s="2769">
        <f t="shared" si="54"/>
        <v>0</v>
      </c>
      <c r="IK62" s="2578"/>
      <c r="IL62" s="3358">
        <v>8683</v>
      </c>
      <c r="IM62" s="3359">
        <v>11393</v>
      </c>
      <c r="IN62" s="3359">
        <v>10625</v>
      </c>
      <c r="IO62" s="3359">
        <v>13396</v>
      </c>
      <c r="IP62" s="3359">
        <v>14885</v>
      </c>
      <c r="IQ62" s="3359">
        <v>16854</v>
      </c>
      <c r="IR62" s="3360">
        <v>18678</v>
      </c>
      <c r="IS62" s="3361">
        <v>20706</v>
      </c>
      <c r="IT62" s="3361">
        <f t="shared" si="37"/>
        <v>24218</v>
      </c>
      <c r="IU62" s="3361">
        <f t="shared" si="38"/>
        <v>18028</v>
      </c>
      <c r="IV62" s="3361">
        <f t="shared" si="39"/>
        <v>16022</v>
      </c>
      <c r="IW62" s="3361">
        <f t="shared" si="40"/>
        <v>15199</v>
      </c>
      <c r="IX62" s="3362">
        <f t="shared" si="55"/>
        <v>15430</v>
      </c>
      <c r="IY62" s="3380">
        <f t="shared" si="41"/>
        <v>4068</v>
      </c>
      <c r="IZ62" s="3378">
        <f t="shared" si="57"/>
        <v>1941</v>
      </c>
      <c r="JA62" s="3579">
        <f t="shared" si="58"/>
        <v>1380</v>
      </c>
      <c r="JC62" s="3365">
        <f t="shared" si="59"/>
        <v>3004.5</v>
      </c>
      <c r="JD62" s="3366">
        <f t="shared" si="42"/>
        <v>2.8724112767794834E-2</v>
      </c>
      <c r="JE62" s="3366">
        <f t="shared" si="43"/>
        <v>2.4538580646347011E-2</v>
      </c>
      <c r="JF62" s="3366">
        <f t="shared" si="60"/>
        <v>2.2208097722059061E-2</v>
      </c>
      <c r="JG62" s="3366">
        <f t="shared" si="56"/>
        <v>2.2545624570785662E-2</v>
      </c>
      <c r="JH62" s="3366">
        <f t="shared" si="61"/>
        <v>2.1363638750741792E-2</v>
      </c>
      <c r="JI62" s="3379">
        <f t="shared" si="62"/>
        <v>6.9075716380304344E-3</v>
      </c>
      <c r="JJ62" s="3366"/>
      <c r="JK62" s="3368">
        <f t="shared" si="44"/>
        <v>-0.1112713556689594</v>
      </c>
      <c r="JL62" s="3369">
        <f t="shared" si="45"/>
        <v>-0.83334257821167079</v>
      </c>
      <c r="JM62" s="3369">
        <f t="shared" si="46"/>
        <v>-5.1366870552989607E-2</v>
      </c>
      <c r="JN62" s="3369">
        <f t="shared" si="46"/>
        <v>1.5198368313704913E-2</v>
      </c>
      <c r="JO62" s="3369">
        <f t="shared" si="46"/>
        <v>-0.73635774465327286</v>
      </c>
      <c r="JP62" s="3370">
        <f t="shared" si="63"/>
        <v>-0.87420609202851585</v>
      </c>
      <c r="JQ62" s="3371">
        <f t="shared" si="64"/>
        <v>-0.52286135693215341</v>
      </c>
      <c r="JS62" s="3045"/>
      <c r="JT62" s="3045"/>
      <c r="JU62" s="3045"/>
      <c r="JV62" s="3045"/>
      <c r="JW62" s="3045"/>
      <c r="JX62" s="3045"/>
      <c r="JY62" s="3045"/>
      <c r="JZ62" s="3045"/>
      <c r="KA62" s="3045"/>
      <c r="KB62" s="3045"/>
      <c r="KC62" s="3045"/>
      <c r="KD62" s="3045"/>
      <c r="KE62" s="3045"/>
      <c r="KF62" s="3045"/>
      <c r="KG62" s="3045"/>
      <c r="KH62" s="3045"/>
      <c r="KI62" s="3045"/>
      <c r="KJ62" s="3045"/>
      <c r="KK62" s="3045"/>
      <c r="KL62" s="3045"/>
      <c r="KM62" s="3045"/>
      <c r="KN62" s="3045"/>
      <c r="KO62" s="3045"/>
    </row>
    <row r="63" spans="1:301" ht="21.9" customHeight="1">
      <c r="A63" s="3372"/>
      <c r="B63" s="3045"/>
      <c r="C63" s="3373" t="s">
        <v>21</v>
      </c>
      <c r="D63" s="3330">
        <v>543</v>
      </c>
      <c r="E63" s="3331">
        <v>685</v>
      </c>
      <c r="F63" s="3331">
        <v>788</v>
      </c>
      <c r="G63" s="3331">
        <v>824</v>
      </c>
      <c r="H63" s="3331">
        <v>704</v>
      </c>
      <c r="I63" s="3331">
        <v>744</v>
      </c>
      <c r="J63" s="3331">
        <v>1339</v>
      </c>
      <c r="K63" s="3331">
        <v>1363</v>
      </c>
      <c r="L63" s="3331">
        <v>964</v>
      </c>
      <c r="M63" s="3331">
        <v>1261</v>
      </c>
      <c r="N63" s="3331">
        <v>1037</v>
      </c>
      <c r="O63" s="3332">
        <v>669</v>
      </c>
      <c r="P63" s="3333">
        <v>824</v>
      </c>
      <c r="Q63" s="3334">
        <v>1149</v>
      </c>
      <c r="R63" s="3334">
        <v>823</v>
      </c>
      <c r="S63" s="3334">
        <v>1148</v>
      </c>
      <c r="T63" s="3334">
        <v>934</v>
      </c>
      <c r="U63" s="3334">
        <v>975</v>
      </c>
      <c r="V63" s="3334">
        <v>1638</v>
      </c>
      <c r="W63" s="3334">
        <v>1653</v>
      </c>
      <c r="X63" s="3334">
        <v>1093</v>
      </c>
      <c r="Y63" s="3334">
        <v>1377</v>
      </c>
      <c r="Z63" s="3334">
        <v>1200</v>
      </c>
      <c r="AA63" s="3335">
        <v>673</v>
      </c>
      <c r="AB63" s="3336">
        <v>983</v>
      </c>
      <c r="AC63" s="3337">
        <v>1015</v>
      </c>
      <c r="AD63" s="3337">
        <v>796</v>
      </c>
      <c r="AE63" s="3337">
        <v>1016</v>
      </c>
      <c r="AF63" s="3337">
        <v>965</v>
      </c>
      <c r="AG63" s="3337">
        <v>914</v>
      </c>
      <c r="AH63" s="3337">
        <v>1694</v>
      </c>
      <c r="AI63" s="3337">
        <v>1736</v>
      </c>
      <c r="AJ63" s="3337">
        <v>1131</v>
      </c>
      <c r="AK63" s="3337">
        <v>1386</v>
      </c>
      <c r="AL63" s="3337">
        <v>1175</v>
      </c>
      <c r="AM63" s="3338">
        <v>749</v>
      </c>
      <c r="AN63" s="3339">
        <v>742</v>
      </c>
      <c r="AO63" s="3340">
        <v>833</v>
      </c>
      <c r="AP63" s="3340">
        <v>1023</v>
      </c>
      <c r="AQ63" s="3340">
        <v>740</v>
      </c>
      <c r="AR63" s="3340">
        <v>1128</v>
      </c>
      <c r="AS63" s="3340">
        <v>840</v>
      </c>
      <c r="AT63" s="3340">
        <v>1883</v>
      </c>
      <c r="AU63" s="3340">
        <v>1664</v>
      </c>
      <c r="AV63" s="3340">
        <v>843</v>
      </c>
      <c r="AW63" s="3340">
        <v>1482</v>
      </c>
      <c r="AX63" s="3340">
        <v>1372</v>
      </c>
      <c r="AY63" s="3341">
        <v>727</v>
      </c>
      <c r="AZ63" s="3277">
        <v>759</v>
      </c>
      <c r="BA63" s="3277">
        <v>756</v>
      </c>
      <c r="BB63" s="3277">
        <v>935</v>
      </c>
      <c r="BC63" s="3277">
        <v>872</v>
      </c>
      <c r="BD63" s="3277">
        <v>1262</v>
      </c>
      <c r="BE63" s="3277">
        <v>730</v>
      </c>
      <c r="BF63" s="3277">
        <v>1595</v>
      </c>
      <c r="BG63" s="3277">
        <v>1453</v>
      </c>
      <c r="BH63" s="3277">
        <v>992</v>
      </c>
      <c r="BI63" s="3277">
        <v>1427</v>
      </c>
      <c r="BJ63" s="3277">
        <v>1289</v>
      </c>
      <c r="BK63" s="3374">
        <v>680</v>
      </c>
      <c r="BL63" s="3344">
        <v>673</v>
      </c>
      <c r="BM63" s="3345">
        <v>845</v>
      </c>
      <c r="BN63" s="3345">
        <v>756</v>
      </c>
      <c r="BO63" s="3345">
        <v>782</v>
      </c>
      <c r="BP63" s="3345">
        <v>829</v>
      </c>
      <c r="BQ63" s="3345">
        <v>701</v>
      </c>
      <c r="BR63" s="3345">
        <v>1552</v>
      </c>
      <c r="BS63" s="3345">
        <v>1404</v>
      </c>
      <c r="BT63" s="3346">
        <v>1214</v>
      </c>
      <c r="BU63" s="3346">
        <v>1410</v>
      </c>
      <c r="BV63" s="3346">
        <v>1180</v>
      </c>
      <c r="BW63" s="3347">
        <v>745</v>
      </c>
      <c r="BX63" s="3348">
        <v>880</v>
      </c>
      <c r="BY63" s="3273">
        <v>808</v>
      </c>
      <c r="BZ63" s="3273">
        <v>969</v>
      </c>
      <c r="CA63" s="3273">
        <v>844</v>
      </c>
      <c r="CB63" s="3273">
        <v>1026</v>
      </c>
      <c r="CC63" s="3273">
        <v>860</v>
      </c>
      <c r="CD63" s="3273">
        <v>1550</v>
      </c>
      <c r="CE63" s="3273">
        <v>1310</v>
      </c>
      <c r="CF63" s="3273">
        <v>1292</v>
      </c>
      <c r="CG63" s="3273">
        <v>1197</v>
      </c>
      <c r="CH63" s="3273">
        <v>1162</v>
      </c>
      <c r="CI63" s="3275">
        <v>751</v>
      </c>
      <c r="CJ63" s="3349">
        <v>877</v>
      </c>
      <c r="CK63" s="3350">
        <v>898</v>
      </c>
      <c r="CL63" s="3350">
        <v>932</v>
      </c>
      <c r="CM63" s="3350">
        <v>964</v>
      </c>
      <c r="CN63" s="3350">
        <v>964</v>
      </c>
      <c r="CO63" s="3350">
        <v>934</v>
      </c>
      <c r="CP63" s="3350">
        <v>1664</v>
      </c>
      <c r="CQ63" s="3350">
        <v>1228</v>
      </c>
      <c r="CR63" s="3350">
        <v>1269</v>
      </c>
      <c r="CS63" s="3350">
        <v>1389</v>
      </c>
      <c r="CT63" s="3350">
        <v>1581</v>
      </c>
      <c r="CU63" s="3351">
        <v>983</v>
      </c>
      <c r="CV63" s="3349">
        <v>1065</v>
      </c>
      <c r="CW63" s="3350">
        <v>1008</v>
      </c>
      <c r="CX63" s="3272">
        <v>802</v>
      </c>
      <c r="CY63" s="3272">
        <v>921</v>
      </c>
      <c r="CZ63" s="3272">
        <v>958</v>
      </c>
      <c r="DA63" s="3272">
        <v>965</v>
      </c>
      <c r="DB63" s="3272">
        <v>1548</v>
      </c>
      <c r="DC63" s="3272">
        <v>1233</v>
      </c>
      <c r="DD63" s="3272">
        <v>1512</v>
      </c>
      <c r="DE63" s="3272">
        <v>1510</v>
      </c>
      <c r="DF63" s="3272">
        <v>1671</v>
      </c>
      <c r="DG63" s="3351">
        <v>856</v>
      </c>
      <c r="DH63" s="3352">
        <v>953</v>
      </c>
      <c r="DI63" s="3353">
        <v>996</v>
      </c>
      <c r="DJ63" s="3353">
        <v>916</v>
      </c>
      <c r="DK63" s="3354">
        <v>945</v>
      </c>
      <c r="DL63" s="3354">
        <v>905</v>
      </c>
      <c r="DM63" s="3354">
        <v>1030</v>
      </c>
      <c r="DN63" s="3354">
        <v>1552</v>
      </c>
      <c r="DO63" s="3354">
        <v>1191</v>
      </c>
      <c r="DP63" s="2556">
        <v>950</v>
      </c>
      <c r="DQ63" s="3354">
        <v>1536</v>
      </c>
      <c r="DR63" s="3354">
        <v>1546</v>
      </c>
      <c r="DS63" s="3355">
        <v>835</v>
      </c>
      <c r="DT63" s="3356">
        <v>933</v>
      </c>
      <c r="DU63" s="3243">
        <v>916</v>
      </c>
      <c r="DV63" s="3243">
        <v>937</v>
      </c>
      <c r="DW63" s="3164">
        <v>939</v>
      </c>
      <c r="DX63" s="3164">
        <v>912</v>
      </c>
      <c r="DY63" s="3164">
        <v>911</v>
      </c>
      <c r="DZ63" s="3164">
        <v>1705</v>
      </c>
      <c r="EA63" s="3164">
        <v>1227</v>
      </c>
      <c r="EB63" s="3164">
        <v>1164</v>
      </c>
      <c r="EC63" s="3164">
        <v>1553</v>
      </c>
      <c r="ED63" s="3164">
        <v>1734</v>
      </c>
      <c r="EE63" s="3163">
        <v>865</v>
      </c>
      <c r="EF63" s="2532">
        <v>1076</v>
      </c>
      <c r="EG63" s="2531">
        <v>1089</v>
      </c>
      <c r="EH63" s="2531">
        <v>834</v>
      </c>
      <c r="EI63" s="2531">
        <v>1162</v>
      </c>
      <c r="EJ63" s="2531">
        <v>1082</v>
      </c>
      <c r="EK63" s="2531">
        <v>1183</v>
      </c>
      <c r="EL63" s="2531">
        <v>1912</v>
      </c>
      <c r="EM63" s="2557">
        <v>1373</v>
      </c>
      <c r="EN63" s="2557">
        <v>1332</v>
      </c>
      <c r="EO63" s="2558">
        <v>1688</v>
      </c>
      <c r="EP63" s="2558">
        <v>1480</v>
      </c>
      <c r="EQ63" s="2559">
        <v>952</v>
      </c>
      <c r="ER63" s="1322">
        <v>1067</v>
      </c>
      <c r="ES63" s="3357">
        <v>1374</v>
      </c>
      <c r="ET63" s="3357">
        <v>865</v>
      </c>
      <c r="EU63" s="2560">
        <v>1271</v>
      </c>
      <c r="EV63" s="2106">
        <v>1648</v>
      </c>
      <c r="EW63" s="2106">
        <v>1645</v>
      </c>
      <c r="EX63" s="2106">
        <v>2746</v>
      </c>
      <c r="EY63" s="2106">
        <v>2514</v>
      </c>
      <c r="EZ63" s="2106">
        <v>2251</v>
      </c>
      <c r="FA63" s="2275">
        <v>1562</v>
      </c>
      <c r="FB63" s="2275">
        <v>1949</v>
      </c>
      <c r="FC63" s="2275">
        <v>1590</v>
      </c>
      <c r="FD63" s="2615">
        <v>1717</v>
      </c>
      <c r="FE63" s="2616">
        <v>1675</v>
      </c>
      <c r="FF63" s="2616">
        <v>661</v>
      </c>
      <c r="FG63" s="2616">
        <v>2</v>
      </c>
      <c r="FH63" s="2616">
        <v>18</v>
      </c>
      <c r="FI63" s="2616">
        <v>11</v>
      </c>
      <c r="FJ63" s="2616">
        <v>68</v>
      </c>
      <c r="FK63" s="2616">
        <v>158</v>
      </c>
      <c r="FL63" s="2616">
        <v>152</v>
      </c>
      <c r="FM63" s="2616">
        <v>261</v>
      </c>
      <c r="FN63" s="2616">
        <v>186</v>
      </c>
      <c r="FO63" s="2617">
        <v>413</v>
      </c>
      <c r="FP63" s="2615">
        <v>431</v>
      </c>
      <c r="FQ63" s="2616">
        <v>209</v>
      </c>
      <c r="FR63" s="2616">
        <v>211</v>
      </c>
      <c r="FS63" s="2616">
        <v>238</v>
      </c>
      <c r="FT63" s="2616">
        <v>277</v>
      </c>
      <c r="FU63" s="2616"/>
      <c r="FV63" s="2616"/>
      <c r="FW63" s="2616"/>
      <c r="FX63" s="2616"/>
      <c r="FY63" s="2616"/>
      <c r="FZ63" s="2616"/>
      <c r="GA63" s="2618"/>
      <c r="GB63" s="2607"/>
      <c r="GC63" s="2754">
        <v>2016</v>
      </c>
      <c r="GD63" s="2755">
        <v>2272</v>
      </c>
      <c r="GE63" s="2755">
        <v>3666</v>
      </c>
      <c r="GF63" s="2756">
        <v>2967</v>
      </c>
      <c r="GG63" s="2757">
        <v>2796</v>
      </c>
      <c r="GH63" s="2758">
        <v>3057</v>
      </c>
      <c r="GI63" s="2758">
        <v>4384</v>
      </c>
      <c r="GJ63" s="2759">
        <v>3250</v>
      </c>
      <c r="GK63" s="2760">
        <v>2794</v>
      </c>
      <c r="GL63" s="2761">
        <v>2895</v>
      </c>
      <c r="GM63" s="2762">
        <v>4561</v>
      </c>
      <c r="GN63" s="2762">
        <v>3310</v>
      </c>
      <c r="GO63" s="2763">
        <v>2598</v>
      </c>
      <c r="GP63" s="2764">
        <v>2708</v>
      </c>
      <c r="GQ63" s="2764">
        <v>4390</v>
      </c>
      <c r="GR63" s="2765">
        <v>3581</v>
      </c>
      <c r="GS63" s="2766">
        <v>2450</v>
      </c>
      <c r="GT63" s="2767">
        <v>2864</v>
      </c>
      <c r="GU63" s="2767">
        <v>4040</v>
      </c>
      <c r="GV63" s="2768">
        <v>3396</v>
      </c>
      <c r="GW63" s="2764">
        <v>2274</v>
      </c>
      <c r="GX63" s="2764">
        <v>2312</v>
      </c>
      <c r="GY63" s="2764">
        <v>4170</v>
      </c>
      <c r="GZ63" s="2764">
        <v>3335</v>
      </c>
      <c r="HA63" s="2769">
        <v>2657</v>
      </c>
      <c r="HB63" s="2769">
        <v>2730</v>
      </c>
      <c r="HC63" s="2769">
        <v>4152</v>
      </c>
      <c r="HD63" s="2769">
        <v>3110</v>
      </c>
      <c r="HE63" s="2770">
        <v>2707</v>
      </c>
      <c r="HF63" s="2770">
        <v>2862</v>
      </c>
      <c r="HG63" s="2770">
        <f t="shared" si="17"/>
        <v>4161</v>
      </c>
      <c r="HH63" s="2770">
        <v>3953</v>
      </c>
      <c r="HI63" s="2771">
        <v>2875</v>
      </c>
      <c r="HJ63" s="2771">
        <f t="shared" si="18"/>
        <v>2844</v>
      </c>
      <c r="HK63" s="2771">
        <f t="shared" si="19"/>
        <v>4293</v>
      </c>
      <c r="HL63" s="2770">
        <f t="shared" si="20"/>
        <v>4037</v>
      </c>
      <c r="HM63" s="2689">
        <f t="shared" si="21"/>
        <v>2865</v>
      </c>
      <c r="HN63" s="2689">
        <f t="shared" si="22"/>
        <v>2880</v>
      </c>
      <c r="HO63" s="2689">
        <f t="shared" si="23"/>
        <v>3578</v>
      </c>
      <c r="HP63" s="2689">
        <f t="shared" si="24"/>
        <v>3917</v>
      </c>
      <c r="HQ63" s="2764">
        <f t="shared" si="25"/>
        <v>2786</v>
      </c>
      <c r="HR63" s="2764">
        <f t="shared" si="26"/>
        <v>2762</v>
      </c>
      <c r="HS63" s="2764">
        <f t="shared" si="27"/>
        <v>4096</v>
      </c>
      <c r="HT63" s="2764">
        <f t="shared" si="28"/>
        <v>4152</v>
      </c>
      <c r="HU63" s="2772">
        <f t="shared" si="29"/>
        <v>2999</v>
      </c>
      <c r="HV63" s="2769">
        <f t="shared" si="30"/>
        <v>3427</v>
      </c>
      <c r="HW63" s="2769">
        <f t="shared" si="31"/>
        <v>4617</v>
      </c>
      <c r="HX63" s="2769">
        <f t="shared" si="32"/>
        <v>4120</v>
      </c>
      <c r="HY63" s="2773">
        <f t="shared" si="33"/>
        <v>3306</v>
      </c>
      <c r="HZ63" s="2774">
        <f t="shared" si="34"/>
        <v>4564</v>
      </c>
      <c r="IA63" s="2774">
        <f t="shared" si="35"/>
        <v>7511</v>
      </c>
      <c r="IB63" s="2774">
        <f t="shared" si="36"/>
        <v>5101</v>
      </c>
      <c r="IC63" s="2775">
        <f t="shared" ref="IC63:IC86" si="65">FD63+FE63+FF63</f>
        <v>4053</v>
      </c>
      <c r="ID63" s="2776">
        <f t="shared" ref="ID63:ID86" si="66">FG63+FH63+FI63</f>
        <v>31</v>
      </c>
      <c r="IE63" s="2776">
        <f>EX63+EY63+EZ63</f>
        <v>7511</v>
      </c>
      <c r="IF63" s="2777">
        <f>FM63+FN63+FO63</f>
        <v>860</v>
      </c>
      <c r="IG63" s="2772">
        <f t="shared" si="51"/>
        <v>851</v>
      </c>
      <c r="IH63" s="2769">
        <f t="shared" si="52"/>
        <v>515</v>
      </c>
      <c r="II63" s="2769">
        <f t="shared" si="53"/>
        <v>0</v>
      </c>
      <c r="IJ63" s="2769">
        <f t="shared" si="54"/>
        <v>0</v>
      </c>
      <c r="IK63" s="2578"/>
      <c r="IL63" s="3358">
        <v>10921</v>
      </c>
      <c r="IM63" s="3359">
        <v>13487</v>
      </c>
      <c r="IN63" s="3359">
        <v>13560</v>
      </c>
      <c r="IO63" s="3359">
        <v>13277</v>
      </c>
      <c r="IP63" s="3359">
        <v>12750</v>
      </c>
      <c r="IQ63" s="3359">
        <v>12091</v>
      </c>
      <c r="IR63" s="3360">
        <v>12649</v>
      </c>
      <c r="IS63" s="3361">
        <v>13683</v>
      </c>
      <c r="IT63" s="3361">
        <f t="shared" si="37"/>
        <v>14049</v>
      </c>
      <c r="IU63" s="3361">
        <f t="shared" si="38"/>
        <v>13355</v>
      </c>
      <c r="IV63" s="3361">
        <f t="shared" si="39"/>
        <v>13796</v>
      </c>
      <c r="IW63" s="3361">
        <f t="shared" si="40"/>
        <v>15163</v>
      </c>
      <c r="IX63" s="3362">
        <f t="shared" si="55"/>
        <v>20482</v>
      </c>
      <c r="IY63" s="3380">
        <f t="shared" si="41"/>
        <v>5322</v>
      </c>
      <c r="IZ63" s="3378">
        <f t="shared" si="57"/>
        <v>2570</v>
      </c>
      <c r="JA63" s="3579">
        <f t="shared" si="58"/>
        <v>1366</v>
      </c>
      <c r="JC63" s="3365">
        <f t="shared" si="59"/>
        <v>3946</v>
      </c>
      <c r="JD63" s="3366">
        <f t="shared" si="42"/>
        <v>2.1278595851669625E-2</v>
      </c>
      <c r="JE63" s="3366">
        <f t="shared" si="43"/>
        <v>2.1129338322119794E-2</v>
      </c>
      <c r="JF63" s="3366">
        <f t="shared" si="60"/>
        <v>2.2155496135244524E-2</v>
      </c>
      <c r="JG63" s="3366">
        <f t="shared" si="56"/>
        <v>2.9927380587092156E-2</v>
      </c>
      <c r="JH63" s="3366">
        <f t="shared" si="61"/>
        <v>2.7949185209303791E-2</v>
      </c>
      <c r="JI63" s="3379">
        <f t="shared" si="62"/>
        <v>9.1460376660165987E-3</v>
      </c>
      <c r="JJ63" s="3366"/>
      <c r="JK63" s="3368">
        <f t="shared" si="44"/>
        <v>3.3021340321976789E-2</v>
      </c>
      <c r="JL63" s="3369">
        <f t="shared" si="45"/>
        <v>-0.70453013852489699</v>
      </c>
      <c r="JM63" s="3369">
        <f t="shared" si="46"/>
        <v>9.908669179472307E-2</v>
      </c>
      <c r="JN63" s="3369">
        <f t="shared" si="46"/>
        <v>0.35078810261821536</v>
      </c>
      <c r="JO63" s="3369">
        <f t="shared" si="46"/>
        <v>-0.74016209354555218</v>
      </c>
      <c r="JP63" s="3370">
        <f t="shared" si="63"/>
        <v>-0.87452397226833312</v>
      </c>
      <c r="JQ63" s="3371">
        <f t="shared" si="64"/>
        <v>-0.51709883502442688</v>
      </c>
      <c r="JS63" s="3045"/>
      <c r="JT63" s="3045"/>
      <c r="JU63" s="3045"/>
      <c r="JV63" s="3045"/>
      <c r="JW63" s="3045"/>
      <c r="JX63" s="3045"/>
      <c r="JY63" s="3045"/>
      <c r="JZ63" s="3045"/>
      <c r="KA63" s="3045"/>
      <c r="KB63" s="3045"/>
      <c r="KC63" s="3045"/>
      <c r="KD63" s="3045"/>
      <c r="KE63" s="3045"/>
      <c r="KF63" s="3045"/>
      <c r="KG63" s="3045"/>
      <c r="KH63" s="3045"/>
      <c r="KI63" s="3045"/>
      <c r="KJ63" s="3045"/>
      <c r="KK63" s="3045"/>
      <c r="KL63" s="3045"/>
      <c r="KM63" s="3045"/>
      <c r="KN63" s="3045"/>
      <c r="KO63" s="3045"/>
    </row>
    <row r="64" spans="1:301" ht="21.9" customHeight="1">
      <c r="A64" s="3382"/>
      <c r="B64" s="3045"/>
      <c r="C64" s="3381" t="s">
        <v>8</v>
      </c>
      <c r="D64" s="3330">
        <v>753</v>
      </c>
      <c r="E64" s="3331">
        <v>714</v>
      </c>
      <c r="F64" s="3331">
        <v>737</v>
      </c>
      <c r="G64" s="3331">
        <v>613</v>
      </c>
      <c r="H64" s="3331">
        <v>651</v>
      </c>
      <c r="I64" s="3331">
        <v>747</v>
      </c>
      <c r="J64" s="3331">
        <v>827</v>
      </c>
      <c r="K64" s="3331">
        <v>1300</v>
      </c>
      <c r="L64" s="3331">
        <v>952</v>
      </c>
      <c r="M64" s="3331">
        <v>1111</v>
      </c>
      <c r="N64" s="3331">
        <v>1099</v>
      </c>
      <c r="O64" s="3332">
        <v>1314</v>
      </c>
      <c r="P64" s="3333">
        <v>827</v>
      </c>
      <c r="Q64" s="3334">
        <v>1276</v>
      </c>
      <c r="R64" s="3334">
        <v>1217</v>
      </c>
      <c r="S64" s="3334">
        <v>1118</v>
      </c>
      <c r="T64" s="3334">
        <v>1255</v>
      </c>
      <c r="U64" s="3334">
        <v>1036</v>
      </c>
      <c r="V64" s="3334">
        <v>1195</v>
      </c>
      <c r="W64" s="3334">
        <v>1641</v>
      </c>
      <c r="X64" s="3334">
        <v>1154</v>
      </c>
      <c r="Y64" s="3334">
        <v>1777</v>
      </c>
      <c r="Z64" s="3334">
        <v>1428</v>
      </c>
      <c r="AA64" s="3335">
        <v>2225</v>
      </c>
      <c r="AB64" s="3336">
        <v>1083</v>
      </c>
      <c r="AC64" s="3337">
        <v>1249</v>
      </c>
      <c r="AD64" s="3337">
        <v>1024</v>
      </c>
      <c r="AE64" s="3337">
        <v>1356</v>
      </c>
      <c r="AF64" s="3337">
        <v>1292</v>
      </c>
      <c r="AG64" s="3337">
        <v>1228</v>
      </c>
      <c r="AH64" s="3337">
        <v>1508</v>
      </c>
      <c r="AI64" s="3337">
        <v>2113</v>
      </c>
      <c r="AJ64" s="3337">
        <v>1520</v>
      </c>
      <c r="AK64" s="3337">
        <v>1841</v>
      </c>
      <c r="AL64" s="3337">
        <v>2046</v>
      </c>
      <c r="AM64" s="3338">
        <v>3228</v>
      </c>
      <c r="AN64" s="3339">
        <v>1651</v>
      </c>
      <c r="AO64" s="3340">
        <v>2875</v>
      </c>
      <c r="AP64" s="3340">
        <v>1387</v>
      </c>
      <c r="AQ64" s="3340">
        <v>1111</v>
      </c>
      <c r="AR64" s="3340">
        <v>1191</v>
      </c>
      <c r="AS64" s="3340">
        <v>1113</v>
      </c>
      <c r="AT64" s="3340">
        <v>1335</v>
      </c>
      <c r="AU64" s="3340">
        <v>1591</v>
      </c>
      <c r="AV64" s="3340">
        <v>1306</v>
      </c>
      <c r="AW64" s="3340">
        <v>1534</v>
      </c>
      <c r="AX64" s="3340">
        <v>1720</v>
      </c>
      <c r="AY64" s="3341">
        <v>1968</v>
      </c>
      <c r="AZ64" s="3277">
        <v>1032</v>
      </c>
      <c r="BA64" s="3277">
        <v>1376</v>
      </c>
      <c r="BB64" s="3277">
        <v>1492</v>
      </c>
      <c r="BC64" s="3277">
        <v>1632</v>
      </c>
      <c r="BD64" s="3277">
        <v>1480</v>
      </c>
      <c r="BE64" s="3277">
        <v>1340</v>
      </c>
      <c r="BF64" s="3277">
        <v>1534</v>
      </c>
      <c r="BG64" s="3277">
        <v>1989</v>
      </c>
      <c r="BH64" s="3277">
        <v>2317</v>
      </c>
      <c r="BI64" s="3277">
        <v>2313</v>
      </c>
      <c r="BJ64" s="3277">
        <v>2294</v>
      </c>
      <c r="BK64" s="3374">
        <v>2927</v>
      </c>
      <c r="BL64" s="3344">
        <v>1103</v>
      </c>
      <c r="BM64" s="3345">
        <v>1731</v>
      </c>
      <c r="BN64" s="3345">
        <v>1529</v>
      </c>
      <c r="BO64" s="3345">
        <v>1459</v>
      </c>
      <c r="BP64" s="3345">
        <v>1418</v>
      </c>
      <c r="BQ64" s="3345">
        <v>1675</v>
      </c>
      <c r="BR64" s="3345">
        <v>1770</v>
      </c>
      <c r="BS64" s="3345">
        <v>2101</v>
      </c>
      <c r="BT64" s="3346">
        <v>2091</v>
      </c>
      <c r="BU64" s="3346">
        <v>2502</v>
      </c>
      <c r="BV64" s="3346">
        <v>4173</v>
      </c>
      <c r="BW64" s="3347">
        <v>4955</v>
      </c>
      <c r="BX64" s="3348">
        <v>3054</v>
      </c>
      <c r="BY64" s="3273">
        <v>4459</v>
      </c>
      <c r="BZ64" s="3273">
        <v>4045</v>
      </c>
      <c r="CA64" s="3273">
        <v>4332</v>
      </c>
      <c r="CB64" s="3273">
        <v>4937</v>
      </c>
      <c r="CC64" s="3273">
        <v>5647</v>
      </c>
      <c r="CD64" s="3273">
        <v>7092</v>
      </c>
      <c r="CE64" s="3273">
        <v>7074</v>
      </c>
      <c r="CF64" s="3273">
        <v>7620</v>
      </c>
      <c r="CG64" s="3273">
        <v>10699</v>
      </c>
      <c r="CH64" s="3273">
        <v>11241</v>
      </c>
      <c r="CI64" s="3275">
        <v>7989</v>
      </c>
      <c r="CJ64" s="3349">
        <v>4693</v>
      </c>
      <c r="CK64" s="3350">
        <v>5741</v>
      </c>
      <c r="CL64" s="3350">
        <v>5725</v>
      </c>
      <c r="CM64" s="3350">
        <v>5619</v>
      </c>
      <c r="CN64" s="3350">
        <v>5346</v>
      </c>
      <c r="CO64" s="3350">
        <v>6807</v>
      </c>
      <c r="CP64" s="3350">
        <v>6926</v>
      </c>
      <c r="CQ64" s="3350">
        <v>8583</v>
      </c>
      <c r="CR64" s="3350">
        <v>9992</v>
      </c>
      <c r="CS64" s="3350">
        <v>9297</v>
      </c>
      <c r="CT64" s="3350">
        <v>10296</v>
      </c>
      <c r="CU64" s="3351">
        <v>11157</v>
      </c>
      <c r="CV64" s="3349">
        <v>2358</v>
      </c>
      <c r="CW64" s="3350">
        <v>2290</v>
      </c>
      <c r="CX64" s="3272">
        <v>4142</v>
      </c>
      <c r="CY64" s="3272">
        <v>6065</v>
      </c>
      <c r="CZ64" s="3272">
        <v>5121</v>
      </c>
      <c r="DA64" s="3272">
        <v>3749</v>
      </c>
      <c r="DB64" s="3272">
        <v>2801</v>
      </c>
      <c r="DC64" s="3272">
        <v>3138</v>
      </c>
      <c r="DD64" s="3272">
        <v>4863</v>
      </c>
      <c r="DE64" s="3272">
        <v>5562</v>
      </c>
      <c r="DF64" s="3272">
        <v>6086</v>
      </c>
      <c r="DG64" s="3351">
        <v>5218</v>
      </c>
      <c r="DH64" s="3352">
        <v>3766</v>
      </c>
      <c r="DI64" s="3353">
        <v>3119</v>
      </c>
      <c r="DJ64" s="3353">
        <v>3278</v>
      </c>
      <c r="DK64" s="3354">
        <v>2499</v>
      </c>
      <c r="DL64" s="3354">
        <v>2287</v>
      </c>
      <c r="DM64" s="3354">
        <v>1861</v>
      </c>
      <c r="DN64" s="3354">
        <v>1997</v>
      </c>
      <c r="DO64" s="3354">
        <v>1859</v>
      </c>
      <c r="DP64" s="2556">
        <v>1632</v>
      </c>
      <c r="DQ64" s="3354">
        <v>1802</v>
      </c>
      <c r="DR64" s="3354">
        <v>2234</v>
      </c>
      <c r="DS64" s="3355">
        <v>2275</v>
      </c>
      <c r="DT64" s="3356">
        <v>2611</v>
      </c>
      <c r="DU64" s="3243">
        <v>2623</v>
      </c>
      <c r="DV64" s="3243">
        <v>3077</v>
      </c>
      <c r="DW64" s="3164">
        <v>1899</v>
      </c>
      <c r="DX64" s="3164">
        <v>1788</v>
      </c>
      <c r="DY64" s="3164">
        <v>1844</v>
      </c>
      <c r="DZ64" s="3164">
        <v>2187</v>
      </c>
      <c r="EA64" s="3164">
        <v>1627</v>
      </c>
      <c r="EB64" s="3164">
        <v>1459</v>
      </c>
      <c r="EC64" s="3164">
        <v>1321</v>
      </c>
      <c r="ED64" s="3164">
        <v>1420</v>
      </c>
      <c r="EE64" s="3163">
        <v>1417</v>
      </c>
      <c r="EF64" s="2532">
        <v>1226</v>
      </c>
      <c r="EG64" s="2531">
        <v>1186</v>
      </c>
      <c r="EH64" s="2531">
        <v>1106</v>
      </c>
      <c r="EI64" s="2531">
        <v>1006</v>
      </c>
      <c r="EJ64" s="2531">
        <v>1115</v>
      </c>
      <c r="EK64" s="2531">
        <v>1223</v>
      </c>
      <c r="EL64" s="2531">
        <v>1373</v>
      </c>
      <c r="EM64" s="2557">
        <v>1180</v>
      </c>
      <c r="EN64" s="2557">
        <v>1316</v>
      </c>
      <c r="EO64" s="2558">
        <v>1366</v>
      </c>
      <c r="EP64" s="2558">
        <v>1417</v>
      </c>
      <c r="EQ64" s="2559">
        <v>1480</v>
      </c>
      <c r="ER64" s="1323">
        <v>839</v>
      </c>
      <c r="ES64" s="3357">
        <v>615</v>
      </c>
      <c r="ET64" s="3357">
        <v>713</v>
      </c>
      <c r="EU64" s="2560">
        <v>970</v>
      </c>
      <c r="EV64" s="2107">
        <v>1338</v>
      </c>
      <c r="EW64" s="2107">
        <v>1196</v>
      </c>
      <c r="EX64" s="2107">
        <v>1791</v>
      </c>
      <c r="EY64" s="2107">
        <v>1978</v>
      </c>
      <c r="EZ64" s="2107">
        <v>959</v>
      </c>
      <c r="FA64" s="2275">
        <v>956</v>
      </c>
      <c r="FB64" s="2275">
        <v>1165</v>
      </c>
      <c r="FC64" s="2275">
        <v>1300</v>
      </c>
      <c r="FD64" s="2615">
        <v>1957</v>
      </c>
      <c r="FE64" s="2616">
        <v>980</v>
      </c>
      <c r="FF64" s="2616">
        <v>604</v>
      </c>
      <c r="FG64" s="2616">
        <v>15</v>
      </c>
      <c r="FH64" s="2616">
        <v>28</v>
      </c>
      <c r="FI64" s="2616">
        <v>30</v>
      </c>
      <c r="FJ64" s="2616">
        <v>79</v>
      </c>
      <c r="FK64" s="2616">
        <v>74</v>
      </c>
      <c r="FL64" s="2616">
        <v>158</v>
      </c>
      <c r="FM64" s="2616">
        <v>136</v>
      </c>
      <c r="FN64" s="2616">
        <v>327</v>
      </c>
      <c r="FO64" s="2617">
        <v>284</v>
      </c>
      <c r="FP64" s="2615">
        <v>409</v>
      </c>
      <c r="FQ64" s="2616">
        <v>282</v>
      </c>
      <c r="FR64" s="2616">
        <v>283</v>
      </c>
      <c r="FS64" s="2616">
        <v>342</v>
      </c>
      <c r="FT64" s="2616">
        <v>477</v>
      </c>
      <c r="FU64" s="2616"/>
      <c r="FV64" s="2616"/>
      <c r="FW64" s="2616"/>
      <c r="FX64" s="2616"/>
      <c r="FY64" s="2616"/>
      <c r="FZ64" s="2616"/>
      <c r="GA64" s="2618"/>
      <c r="GB64" s="2607"/>
      <c r="GC64" s="2754">
        <v>2204</v>
      </c>
      <c r="GD64" s="2755">
        <v>2011</v>
      </c>
      <c r="GE64" s="2755">
        <v>3079</v>
      </c>
      <c r="GF64" s="2756">
        <v>3524</v>
      </c>
      <c r="GG64" s="2757">
        <v>3320</v>
      </c>
      <c r="GH64" s="2758">
        <v>3409</v>
      </c>
      <c r="GI64" s="2758">
        <v>3990</v>
      </c>
      <c r="GJ64" s="2759">
        <v>5430</v>
      </c>
      <c r="GK64" s="2760">
        <v>3356</v>
      </c>
      <c r="GL64" s="2761">
        <v>3876</v>
      </c>
      <c r="GM64" s="2762">
        <v>5141</v>
      </c>
      <c r="GN64" s="2762">
        <v>7115</v>
      </c>
      <c r="GO64" s="2763">
        <v>5913</v>
      </c>
      <c r="GP64" s="2764">
        <v>3415</v>
      </c>
      <c r="GQ64" s="2764">
        <v>4232</v>
      </c>
      <c r="GR64" s="2765">
        <v>5222</v>
      </c>
      <c r="GS64" s="2766">
        <v>3900</v>
      </c>
      <c r="GT64" s="2767">
        <v>4452</v>
      </c>
      <c r="GU64" s="2767">
        <v>5840</v>
      </c>
      <c r="GV64" s="2768">
        <v>7534</v>
      </c>
      <c r="GW64" s="2764">
        <v>4363</v>
      </c>
      <c r="GX64" s="2764">
        <v>4552</v>
      </c>
      <c r="GY64" s="2764">
        <v>5962</v>
      </c>
      <c r="GZ64" s="2764">
        <v>11630</v>
      </c>
      <c r="HA64" s="2769">
        <v>11558</v>
      </c>
      <c r="HB64" s="2769">
        <v>14916</v>
      </c>
      <c r="HC64" s="2769">
        <v>21786</v>
      </c>
      <c r="HD64" s="2769">
        <v>29929</v>
      </c>
      <c r="HE64" s="2770">
        <v>16159</v>
      </c>
      <c r="HF64" s="2770">
        <v>17772</v>
      </c>
      <c r="HG64" s="2770">
        <f t="shared" si="17"/>
        <v>25501</v>
      </c>
      <c r="HH64" s="2770">
        <v>30750</v>
      </c>
      <c r="HI64" s="2771">
        <v>8790</v>
      </c>
      <c r="HJ64" s="2771">
        <f t="shared" si="18"/>
        <v>14935</v>
      </c>
      <c r="HK64" s="2771">
        <f t="shared" si="19"/>
        <v>10802</v>
      </c>
      <c r="HL64" s="2770">
        <f t="shared" si="20"/>
        <v>16866</v>
      </c>
      <c r="HM64" s="2689">
        <f t="shared" si="21"/>
        <v>10163</v>
      </c>
      <c r="HN64" s="2689">
        <f t="shared" si="22"/>
        <v>6647</v>
      </c>
      <c r="HO64" s="2689">
        <f t="shared" si="23"/>
        <v>6131</v>
      </c>
      <c r="HP64" s="2689">
        <f t="shared" si="24"/>
        <v>6311</v>
      </c>
      <c r="HQ64" s="2764">
        <f t="shared" si="25"/>
        <v>8311</v>
      </c>
      <c r="HR64" s="2764">
        <f t="shared" si="26"/>
        <v>5531</v>
      </c>
      <c r="HS64" s="2764">
        <f t="shared" si="27"/>
        <v>5273</v>
      </c>
      <c r="HT64" s="2764">
        <f t="shared" si="28"/>
        <v>4158</v>
      </c>
      <c r="HU64" s="2772">
        <f t="shared" si="29"/>
        <v>3518</v>
      </c>
      <c r="HV64" s="2769">
        <f t="shared" si="30"/>
        <v>3344</v>
      </c>
      <c r="HW64" s="2769">
        <f t="shared" si="31"/>
        <v>3869</v>
      </c>
      <c r="HX64" s="2769">
        <f t="shared" si="32"/>
        <v>4263</v>
      </c>
      <c r="HY64" s="2773">
        <f t="shared" si="33"/>
        <v>2167</v>
      </c>
      <c r="HZ64" s="2774">
        <f t="shared" si="34"/>
        <v>3504</v>
      </c>
      <c r="IA64" s="2774">
        <f t="shared" si="35"/>
        <v>4728</v>
      </c>
      <c r="IB64" s="2774">
        <f t="shared" si="36"/>
        <v>3421</v>
      </c>
      <c r="IC64" s="2775">
        <f t="shared" si="65"/>
        <v>3541</v>
      </c>
      <c r="ID64" s="2776">
        <f t="shared" si="66"/>
        <v>73</v>
      </c>
      <c r="IE64" s="2776">
        <f>EX64+EY64+EZ64</f>
        <v>4728</v>
      </c>
      <c r="IF64" s="2777">
        <f>FM64+FN64+FO64</f>
        <v>747</v>
      </c>
      <c r="IG64" s="2772">
        <f t="shared" si="51"/>
        <v>974</v>
      </c>
      <c r="IH64" s="2769">
        <f t="shared" si="52"/>
        <v>819</v>
      </c>
      <c r="II64" s="2769">
        <f t="shared" si="53"/>
        <v>0</v>
      </c>
      <c r="IJ64" s="2769">
        <f t="shared" si="54"/>
        <v>0</v>
      </c>
      <c r="IK64" s="2578"/>
      <c r="IL64" s="3358">
        <v>10818</v>
      </c>
      <c r="IM64" s="3359">
        <v>16149</v>
      </c>
      <c r="IN64" s="3359">
        <v>19488</v>
      </c>
      <c r="IO64" s="3359">
        <v>18782</v>
      </c>
      <c r="IP64" s="3359">
        <v>21726</v>
      </c>
      <c r="IQ64" s="3359">
        <v>26507</v>
      </c>
      <c r="IR64" s="3360">
        <v>78189</v>
      </c>
      <c r="IS64" s="3361">
        <v>90182</v>
      </c>
      <c r="IT64" s="3361">
        <f t="shared" si="37"/>
        <v>51393</v>
      </c>
      <c r="IU64" s="3361">
        <f t="shared" si="38"/>
        <v>28609</v>
      </c>
      <c r="IV64" s="3361">
        <f t="shared" si="39"/>
        <v>23273</v>
      </c>
      <c r="IW64" s="3361">
        <f t="shared" si="40"/>
        <v>14994</v>
      </c>
      <c r="IX64" s="3362">
        <f t="shared" si="55"/>
        <v>13820</v>
      </c>
      <c r="IY64" s="3380">
        <f t="shared" si="41"/>
        <v>4672</v>
      </c>
      <c r="IZ64" s="3378">
        <f t="shared" si="57"/>
        <v>2426</v>
      </c>
      <c r="JA64" s="3579">
        <f t="shared" si="58"/>
        <v>1793</v>
      </c>
      <c r="JC64" s="3365">
        <f t="shared" si="59"/>
        <v>3549</v>
      </c>
      <c r="JD64" s="3366">
        <f t="shared" si="42"/>
        <v>4.5582878975695719E-2</v>
      </c>
      <c r="JE64" s="3366">
        <f t="shared" si="43"/>
        <v>3.5643888864213831E-2</v>
      </c>
      <c r="JF64" s="3366">
        <f t="shared" si="60"/>
        <v>2.1908560908254066E-2</v>
      </c>
      <c r="JG64" s="3366">
        <f t="shared" si="56"/>
        <v>2.0193164716024489E-2</v>
      </c>
      <c r="JH64" s="3366">
        <f t="shared" si="61"/>
        <v>2.4535624445296375E-2</v>
      </c>
      <c r="JI64" s="3379">
        <f t="shared" si="62"/>
        <v>8.6335748551580813E-3</v>
      </c>
      <c r="JJ64" s="3366"/>
      <c r="JK64" s="3368">
        <f t="shared" si="44"/>
        <v>-0.18651473312593936</v>
      </c>
      <c r="JL64" s="3369">
        <f t="shared" si="45"/>
        <v>-0.875948128211402</v>
      </c>
      <c r="JM64" s="3369">
        <f t="shared" si="46"/>
        <v>-0.35573411249086928</v>
      </c>
      <c r="JN64" s="3369">
        <f t="shared" si="46"/>
        <v>-7.829798586101111E-2</v>
      </c>
      <c r="JO64" s="3369">
        <f t="shared" si="46"/>
        <v>-0.66193921852387838</v>
      </c>
      <c r="JP64" s="3370">
        <f t="shared" si="63"/>
        <v>-0.82445730824891461</v>
      </c>
      <c r="JQ64" s="3371">
        <f t="shared" si="64"/>
        <v>-0.48073630136986301</v>
      </c>
      <c r="JS64" s="3045"/>
      <c r="JT64" s="3045"/>
      <c r="JU64" s="3045"/>
      <c r="JV64" s="3045"/>
      <c r="JW64" s="3045"/>
      <c r="JX64" s="3045"/>
      <c r="JY64" s="3045"/>
      <c r="JZ64" s="3045"/>
      <c r="KA64" s="3045"/>
      <c r="KB64" s="3045"/>
      <c r="KC64" s="3045"/>
      <c r="KD64" s="3045"/>
      <c r="KE64" s="3045"/>
      <c r="KF64" s="3045"/>
      <c r="KG64" s="3045"/>
      <c r="KH64" s="3045"/>
      <c r="KI64" s="3045"/>
      <c r="KJ64" s="3045"/>
      <c r="KK64" s="3045"/>
      <c r="KL64" s="3045"/>
      <c r="KM64" s="3045"/>
      <c r="KN64" s="3045"/>
      <c r="KO64" s="3045"/>
    </row>
    <row r="65" spans="1:301" ht="21.9" customHeight="1">
      <c r="A65" s="3372"/>
      <c r="B65" s="3045"/>
      <c r="C65" s="3373" t="s">
        <v>16</v>
      </c>
      <c r="D65" s="3330">
        <v>601</v>
      </c>
      <c r="E65" s="3331">
        <v>485</v>
      </c>
      <c r="F65" s="3331">
        <v>562</v>
      </c>
      <c r="G65" s="3331">
        <v>458</v>
      </c>
      <c r="H65" s="3331">
        <v>506</v>
      </c>
      <c r="I65" s="3331">
        <v>493</v>
      </c>
      <c r="J65" s="3331">
        <v>640</v>
      </c>
      <c r="K65" s="3331">
        <v>660</v>
      </c>
      <c r="L65" s="3331">
        <v>623</v>
      </c>
      <c r="M65" s="3331">
        <v>809</v>
      </c>
      <c r="N65" s="3331">
        <v>721</v>
      </c>
      <c r="O65" s="3332">
        <v>581</v>
      </c>
      <c r="P65" s="3333">
        <v>742</v>
      </c>
      <c r="Q65" s="3334">
        <v>1092</v>
      </c>
      <c r="R65" s="3334">
        <v>815</v>
      </c>
      <c r="S65" s="3334">
        <v>665</v>
      </c>
      <c r="T65" s="3334">
        <v>807</v>
      </c>
      <c r="U65" s="3334">
        <v>1147</v>
      </c>
      <c r="V65" s="3334">
        <v>1017</v>
      </c>
      <c r="W65" s="3334">
        <v>826</v>
      </c>
      <c r="X65" s="3334">
        <v>918</v>
      </c>
      <c r="Y65" s="3334">
        <v>792</v>
      </c>
      <c r="Z65" s="3334">
        <v>734</v>
      </c>
      <c r="AA65" s="3335">
        <v>659</v>
      </c>
      <c r="AB65" s="3336">
        <v>705</v>
      </c>
      <c r="AC65" s="3337">
        <v>675</v>
      </c>
      <c r="AD65" s="3337">
        <v>680</v>
      </c>
      <c r="AE65" s="3337">
        <v>672</v>
      </c>
      <c r="AF65" s="3337">
        <v>653</v>
      </c>
      <c r="AG65" s="3337">
        <v>634</v>
      </c>
      <c r="AH65" s="3337">
        <v>832</v>
      </c>
      <c r="AI65" s="3337">
        <v>848</v>
      </c>
      <c r="AJ65" s="3337">
        <v>720</v>
      </c>
      <c r="AK65" s="3337">
        <v>789</v>
      </c>
      <c r="AL65" s="3337">
        <v>930</v>
      </c>
      <c r="AM65" s="3338">
        <v>731</v>
      </c>
      <c r="AN65" s="3339">
        <v>924</v>
      </c>
      <c r="AO65" s="3340">
        <v>696</v>
      </c>
      <c r="AP65" s="3340">
        <v>663</v>
      </c>
      <c r="AQ65" s="3340">
        <v>716</v>
      </c>
      <c r="AR65" s="3340">
        <v>756</v>
      </c>
      <c r="AS65" s="3340">
        <v>723</v>
      </c>
      <c r="AT65" s="3340">
        <v>894</v>
      </c>
      <c r="AU65" s="3340">
        <v>783</v>
      </c>
      <c r="AV65" s="3340">
        <v>912</v>
      </c>
      <c r="AW65" s="3340">
        <v>829</v>
      </c>
      <c r="AX65" s="3340">
        <v>856</v>
      </c>
      <c r="AY65" s="3341">
        <v>807</v>
      </c>
      <c r="AZ65" s="3277">
        <v>932</v>
      </c>
      <c r="BA65" s="3277">
        <v>719</v>
      </c>
      <c r="BB65" s="3277">
        <v>938</v>
      </c>
      <c r="BC65" s="3277">
        <v>769</v>
      </c>
      <c r="BD65" s="3277">
        <v>816</v>
      </c>
      <c r="BE65" s="3277">
        <v>810</v>
      </c>
      <c r="BF65" s="3277">
        <v>970</v>
      </c>
      <c r="BG65" s="3277">
        <v>834</v>
      </c>
      <c r="BH65" s="3277">
        <v>856</v>
      </c>
      <c r="BI65" s="3277">
        <v>924</v>
      </c>
      <c r="BJ65" s="3277">
        <v>793</v>
      </c>
      <c r="BK65" s="3374">
        <v>822</v>
      </c>
      <c r="BL65" s="3344">
        <v>834</v>
      </c>
      <c r="BM65" s="3345">
        <v>769</v>
      </c>
      <c r="BN65" s="3345">
        <v>821</v>
      </c>
      <c r="BO65" s="3345">
        <v>842</v>
      </c>
      <c r="BP65" s="3345">
        <v>921</v>
      </c>
      <c r="BQ65" s="3345">
        <v>1131</v>
      </c>
      <c r="BR65" s="3345">
        <v>1140</v>
      </c>
      <c r="BS65" s="3345">
        <v>979</v>
      </c>
      <c r="BT65" s="3346">
        <v>975</v>
      </c>
      <c r="BU65" s="3346">
        <v>994</v>
      </c>
      <c r="BV65" s="3346">
        <v>1053</v>
      </c>
      <c r="BW65" s="3347">
        <v>931</v>
      </c>
      <c r="BX65" s="3348">
        <v>941</v>
      </c>
      <c r="BY65" s="3273">
        <v>723</v>
      </c>
      <c r="BZ65" s="3273">
        <v>783</v>
      </c>
      <c r="CA65" s="3273">
        <v>862</v>
      </c>
      <c r="CB65" s="3273">
        <v>903</v>
      </c>
      <c r="CC65" s="3273">
        <v>861</v>
      </c>
      <c r="CD65" s="3273">
        <v>932</v>
      </c>
      <c r="CE65" s="3273">
        <v>714</v>
      </c>
      <c r="CF65" s="3273">
        <v>996</v>
      </c>
      <c r="CG65" s="3273">
        <v>940</v>
      </c>
      <c r="CH65" s="3273">
        <v>1183</v>
      </c>
      <c r="CI65" s="3275">
        <v>1214</v>
      </c>
      <c r="CJ65" s="3349">
        <v>1206</v>
      </c>
      <c r="CK65" s="3350">
        <v>1082</v>
      </c>
      <c r="CL65" s="3350">
        <v>958</v>
      </c>
      <c r="CM65" s="3350">
        <v>984</v>
      </c>
      <c r="CN65" s="3350">
        <v>1190</v>
      </c>
      <c r="CO65" s="3350">
        <v>753</v>
      </c>
      <c r="CP65" s="3350">
        <v>1072</v>
      </c>
      <c r="CQ65" s="3350">
        <v>1031</v>
      </c>
      <c r="CR65" s="3350">
        <v>1195</v>
      </c>
      <c r="CS65" s="3350">
        <v>1257</v>
      </c>
      <c r="CT65" s="3350">
        <v>1415</v>
      </c>
      <c r="CU65" s="3351">
        <v>1565</v>
      </c>
      <c r="CV65" s="3349">
        <v>1621</v>
      </c>
      <c r="CW65" s="3350">
        <v>1093</v>
      </c>
      <c r="CX65" s="3272">
        <v>918</v>
      </c>
      <c r="CY65" s="3272">
        <v>1026</v>
      </c>
      <c r="CZ65" s="3272">
        <v>1047</v>
      </c>
      <c r="DA65" s="3272">
        <v>937</v>
      </c>
      <c r="DB65" s="3272">
        <v>1223</v>
      </c>
      <c r="DC65" s="3272">
        <v>939</v>
      </c>
      <c r="DD65" s="3272">
        <v>863</v>
      </c>
      <c r="DE65" s="3272">
        <v>940</v>
      </c>
      <c r="DF65" s="3272">
        <v>1003</v>
      </c>
      <c r="DG65" s="3351">
        <v>1325</v>
      </c>
      <c r="DH65" s="3352">
        <v>965</v>
      </c>
      <c r="DI65" s="3353">
        <v>748</v>
      </c>
      <c r="DJ65" s="3353">
        <v>734</v>
      </c>
      <c r="DK65" s="3354">
        <v>736</v>
      </c>
      <c r="DL65" s="3354">
        <v>751</v>
      </c>
      <c r="DM65" s="3354">
        <v>821</v>
      </c>
      <c r="DN65" s="3354">
        <v>874</v>
      </c>
      <c r="DO65" s="3354">
        <v>960</v>
      </c>
      <c r="DP65" s="2556">
        <v>826</v>
      </c>
      <c r="DQ65" s="3354">
        <v>1331</v>
      </c>
      <c r="DR65" s="3354">
        <v>981</v>
      </c>
      <c r="DS65" s="3355">
        <v>896</v>
      </c>
      <c r="DT65" s="3356">
        <v>1060</v>
      </c>
      <c r="DU65" s="3243">
        <v>849</v>
      </c>
      <c r="DV65" s="3243">
        <v>907</v>
      </c>
      <c r="DW65" s="3164">
        <v>1130</v>
      </c>
      <c r="DX65" s="3164">
        <v>878</v>
      </c>
      <c r="DY65" s="3164">
        <v>938</v>
      </c>
      <c r="DZ65" s="3164">
        <v>1156</v>
      </c>
      <c r="EA65" s="3164">
        <v>925</v>
      </c>
      <c r="EB65" s="3164">
        <v>972</v>
      </c>
      <c r="EC65" s="3164">
        <v>1125</v>
      </c>
      <c r="ED65" s="3164">
        <v>1076</v>
      </c>
      <c r="EE65" s="3163">
        <v>960</v>
      </c>
      <c r="EF65" s="2532">
        <v>1141</v>
      </c>
      <c r="EG65" s="2531">
        <v>1020</v>
      </c>
      <c r="EH65" s="2531">
        <v>899</v>
      </c>
      <c r="EI65" s="2531">
        <v>1032</v>
      </c>
      <c r="EJ65" s="2531">
        <v>1005</v>
      </c>
      <c r="EK65" s="2531">
        <v>1056</v>
      </c>
      <c r="EL65" s="2531">
        <v>1355</v>
      </c>
      <c r="EM65" s="2557">
        <v>837</v>
      </c>
      <c r="EN65" s="2557">
        <v>1152</v>
      </c>
      <c r="EO65" s="2558">
        <v>1381</v>
      </c>
      <c r="EP65" s="2558">
        <v>1016</v>
      </c>
      <c r="EQ65" s="2559">
        <v>1162</v>
      </c>
      <c r="ER65" s="1320">
        <v>2040</v>
      </c>
      <c r="ES65" s="3357">
        <v>1025</v>
      </c>
      <c r="ET65" s="3357">
        <v>1254</v>
      </c>
      <c r="EU65" s="2560">
        <v>1827</v>
      </c>
      <c r="EV65" s="2104">
        <v>1348</v>
      </c>
      <c r="EW65" s="2104">
        <v>1543</v>
      </c>
      <c r="EX65" s="2104">
        <v>1780</v>
      </c>
      <c r="EY65" s="2104">
        <v>1558</v>
      </c>
      <c r="EZ65" s="2104">
        <v>1957</v>
      </c>
      <c r="FA65" s="2275">
        <v>972</v>
      </c>
      <c r="FB65" s="2275">
        <v>1447</v>
      </c>
      <c r="FC65" s="2275">
        <v>1594</v>
      </c>
      <c r="FD65" s="2615">
        <v>1536</v>
      </c>
      <c r="FE65" s="2616">
        <v>1652</v>
      </c>
      <c r="FF65" s="2616">
        <v>512</v>
      </c>
      <c r="FG65" s="2616">
        <v>12</v>
      </c>
      <c r="FH65" s="2616">
        <v>20</v>
      </c>
      <c r="FI65" s="2616">
        <v>12</v>
      </c>
      <c r="FJ65" s="2616">
        <v>48</v>
      </c>
      <c r="FK65" s="2616">
        <v>69</v>
      </c>
      <c r="FL65" s="2616">
        <v>197</v>
      </c>
      <c r="FM65" s="2616">
        <v>136</v>
      </c>
      <c r="FN65" s="2616">
        <v>294</v>
      </c>
      <c r="FO65" s="2617">
        <v>368</v>
      </c>
      <c r="FP65" s="2615">
        <v>324</v>
      </c>
      <c r="FQ65" s="2616">
        <v>198</v>
      </c>
      <c r="FR65" s="2616">
        <v>231</v>
      </c>
      <c r="FS65" s="2616">
        <v>238</v>
      </c>
      <c r="FT65" s="2616">
        <v>367</v>
      </c>
      <c r="FU65" s="2616"/>
      <c r="FV65" s="2616"/>
      <c r="FW65" s="2616"/>
      <c r="FX65" s="2616"/>
      <c r="FY65" s="2616"/>
      <c r="FZ65" s="2616"/>
      <c r="GA65" s="2618"/>
      <c r="GB65" s="2607"/>
      <c r="GC65" s="2754">
        <v>1648</v>
      </c>
      <c r="GD65" s="2755">
        <v>1457</v>
      </c>
      <c r="GE65" s="2755">
        <v>1923</v>
      </c>
      <c r="GF65" s="2756">
        <v>2111</v>
      </c>
      <c r="GG65" s="2757">
        <v>2649</v>
      </c>
      <c r="GH65" s="2758">
        <v>2619</v>
      </c>
      <c r="GI65" s="2758">
        <v>2761</v>
      </c>
      <c r="GJ65" s="2759">
        <v>2185</v>
      </c>
      <c r="GK65" s="2760">
        <v>2060</v>
      </c>
      <c r="GL65" s="2761">
        <v>1959</v>
      </c>
      <c r="GM65" s="2762">
        <v>2400</v>
      </c>
      <c r="GN65" s="2762">
        <v>2450</v>
      </c>
      <c r="GO65" s="2763">
        <v>2283</v>
      </c>
      <c r="GP65" s="2764">
        <v>2195</v>
      </c>
      <c r="GQ65" s="2764">
        <v>2589</v>
      </c>
      <c r="GR65" s="2765">
        <v>2492</v>
      </c>
      <c r="GS65" s="2766">
        <v>2589</v>
      </c>
      <c r="GT65" s="2767">
        <v>2395</v>
      </c>
      <c r="GU65" s="2767">
        <v>2660</v>
      </c>
      <c r="GV65" s="2768">
        <v>2539</v>
      </c>
      <c r="GW65" s="2764">
        <v>2424</v>
      </c>
      <c r="GX65" s="2764">
        <v>2894</v>
      </c>
      <c r="GY65" s="2764">
        <v>3094</v>
      </c>
      <c r="GZ65" s="2764">
        <v>2978</v>
      </c>
      <c r="HA65" s="2769">
        <v>2447</v>
      </c>
      <c r="HB65" s="2769">
        <v>2626</v>
      </c>
      <c r="HC65" s="2769">
        <v>2642</v>
      </c>
      <c r="HD65" s="2769">
        <v>3337</v>
      </c>
      <c r="HE65" s="2770">
        <v>3246</v>
      </c>
      <c r="HF65" s="2770">
        <v>2927</v>
      </c>
      <c r="HG65" s="2770">
        <f t="shared" si="17"/>
        <v>3298</v>
      </c>
      <c r="HH65" s="2770">
        <v>4237</v>
      </c>
      <c r="HI65" s="2771">
        <v>3632</v>
      </c>
      <c r="HJ65" s="2771">
        <f t="shared" si="18"/>
        <v>3010</v>
      </c>
      <c r="HK65" s="2771">
        <f t="shared" si="19"/>
        <v>3025</v>
      </c>
      <c r="HL65" s="2770">
        <f t="shared" si="20"/>
        <v>3268</v>
      </c>
      <c r="HM65" s="2689">
        <f t="shared" si="21"/>
        <v>2447</v>
      </c>
      <c r="HN65" s="2689">
        <f t="shared" si="22"/>
        <v>2308</v>
      </c>
      <c r="HO65" s="2689">
        <f t="shared" si="23"/>
        <v>2730</v>
      </c>
      <c r="HP65" s="2689">
        <f t="shared" si="24"/>
        <v>3208</v>
      </c>
      <c r="HQ65" s="2764">
        <f t="shared" si="25"/>
        <v>2816</v>
      </c>
      <c r="HR65" s="2764">
        <f t="shared" si="26"/>
        <v>2946</v>
      </c>
      <c r="HS65" s="2764">
        <f t="shared" si="27"/>
        <v>3053</v>
      </c>
      <c r="HT65" s="2764">
        <f t="shared" si="28"/>
        <v>3161</v>
      </c>
      <c r="HU65" s="2772">
        <f t="shared" si="29"/>
        <v>3060</v>
      </c>
      <c r="HV65" s="2769">
        <f t="shared" si="30"/>
        <v>3093</v>
      </c>
      <c r="HW65" s="2769">
        <f t="shared" si="31"/>
        <v>3344</v>
      </c>
      <c r="HX65" s="2769">
        <f t="shared" si="32"/>
        <v>3559</v>
      </c>
      <c r="HY65" s="2773">
        <f t="shared" si="33"/>
        <v>4319</v>
      </c>
      <c r="HZ65" s="2774">
        <f t="shared" si="34"/>
        <v>4718</v>
      </c>
      <c r="IA65" s="2774">
        <f t="shared" si="35"/>
        <v>5295</v>
      </c>
      <c r="IB65" s="2774">
        <f t="shared" si="36"/>
        <v>4013</v>
      </c>
      <c r="IC65" s="2775">
        <f t="shared" si="65"/>
        <v>3700</v>
      </c>
      <c r="ID65" s="2776">
        <f t="shared" si="66"/>
        <v>44</v>
      </c>
      <c r="IE65" s="2776">
        <f>EX65+EY65+EZ65</f>
        <v>5295</v>
      </c>
      <c r="IF65" s="2777">
        <f>FM65+FN65+FO65</f>
        <v>798</v>
      </c>
      <c r="IG65" s="2772">
        <f t="shared" si="51"/>
        <v>753</v>
      </c>
      <c r="IH65" s="2769">
        <f t="shared" si="52"/>
        <v>605</v>
      </c>
      <c r="II65" s="2769">
        <f t="shared" si="53"/>
        <v>0</v>
      </c>
      <c r="IJ65" s="2769">
        <f t="shared" si="54"/>
        <v>0</v>
      </c>
      <c r="IK65" s="2578"/>
      <c r="IL65" s="3358">
        <v>7139</v>
      </c>
      <c r="IM65" s="3359">
        <v>10214</v>
      </c>
      <c r="IN65" s="3359">
        <v>8869</v>
      </c>
      <c r="IO65" s="3359">
        <v>9559</v>
      </c>
      <c r="IP65" s="3359">
        <v>10183</v>
      </c>
      <c r="IQ65" s="3359">
        <v>11390</v>
      </c>
      <c r="IR65" s="3360">
        <v>11052</v>
      </c>
      <c r="IS65" s="3361">
        <v>13708</v>
      </c>
      <c r="IT65" s="3361">
        <f t="shared" si="37"/>
        <v>12935</v>
      </c>
      <c r="IU65" s="3361">
        <f t="shared" si="38"/>
        <v>10623</v>
      </c>
      <c r="IV65" s="3361">
        <f t="shared" si="39"/>
        <v>11976</v>
      </c>
      <c r="IW65" s="3361">
        <f t="shared" si="40"/>
        <v>13056</v>
      </c>
      <c r="IX65" s="3362">
        <f t="shared" si="55"/>
        <v>18345</v>
      </c>
      <c r="IY65" s="3380">
        <f t="shared" si="41"/>
        <v>4856</v>
      </c>
      <c r="IZ65" s="3378">
        <f t="shared" si="57"/>
        <v>2190</v>
      </c>
      <c r="JA65" s="3579">
        <f t="shared" si="58"/>
        <v>1358</v>
      </c>
      <c r="JC65" s="3365">
        <f t="shared" si="59"/>
        <v>3523</v>
      </c>
      <c r="JD65" s="3366">
        <f t="shared" si="42"/>
        <v>1.6925685041728672E-2</v>
      </c>
      <c r="JE65" s="3366">
        <f t="shared" si="43"/>
        <v>1.8341907490990624E-2</v>
      </c>
      <c r="JF65" s="3366">
        <f t="shared" si="60"/>
        <v>1.9076842151404899E-2</v>
      </c>
      <c r="JG65" s="3366">
        <f t="shared" si="56"/>
        <v>2.6804891947573753E-2</v>
      </c>
      <c r="JH65" s="3366">
        <f t="shared" si="61"/>
        <v>2.5501924723107704E-2</v>
      </c>
      <c r="JI65" s="3379">
        <f t="shared" si="62"/>
        <v>7.7937052484732877E-3</v>
      </c>
      <c r="JJ65" s="3366"/>
      <c r="JK65" s="3368">
        <f t="shared" si="44"/>
        <v>0.12736515108726354</v>
      </c>
      <c r="JL65" s="3369">
        <f t="shared" si="45"/>
        <v>-0.66836110326649723</v>
      </c>
      <c r="JM65" s="3369">
        <f t="shared" si="46"/>
        <v>9.0180360721442865E-2</v>
      </c>
      <c r="JN65" s="3369">
        <f t="shared" si="46"/>
        <v>0.40510110294117641</v>
      </c>
      <c r="JO65" s="3369">
        <f t="shared" si="46"/>
        <v>-0.73529572090487871</v>
      </c>
      <c r="JP65" s="3370">
        <f t="shared" si="63"/>
        <v>-0.88062142273098942</v>
      </c>
      <c r="JQ65" s="3371">
        <f t="shared" si="64"/>
        <v>-0.54901153212520593</v>
      </c>
      <c r="JS65" s="3045"/>
      <c r="JT65" s="3045"/>
      <c r="JU65" s="3045"/>
      <c r="JV65" s="3045"/>
      <c r="JW65" s="3045"/>
      <c r="JX65" s="3045"/>
      <c r="JY65" s="3045"/>
      <c r="JZ65" s="3045"/>
      <c r="KA65" s="3045"/>
      <c r="KB65" s="3045"/>
      <c r="KC65" s="3045"/>
      <c r="KD65" s="3045"/>
      <c r="KE65" s="3045"/>
      <c r="KF65" s="3045"/>
      <c r="KG65" s="3045"/>
      <c r="KH65" s="3045"/>
      <c r="KI65" s="3045"/>
      <c r="KJ65" s="3045"/>
      <c r="KK65" s="3045"/>
      <c r="KL65" s="3045"/>
      <c r="KM65" s="3045"/>
      <c r="KN65" s="3045"/>
      <c r="KO65" s="3045"/>
    </row>
    <row r="66" spans="1:301" ht="21.9" customHeight="1">
      <c r="A66" s="3372"/>
      <c r="B66" s="3045"/>
      <c r="C66" s="3373" t="s">
        <v>1360</v>
      </c>
      <c r="D66" s="3330">
        <v>367</v>
      </c>
      <c r="E66" s="3331">
        <v>335</v>
      </c>
      <c r="F66" s="3331">
        <v>364</v>
      </c>
      <c r="G66" s="3331">
        <v>343</v>
      </c>
      <c r="H66" s="3331">
        <v>321</v>
      </c>
      <c r="I66" s="3331">
        <v>421</v>
      </c>
      <c r="J66" s="3331">
        <v>1328</v>
      </c>
      <c r="K66" s="3331">
        <v>606</v>
      </c>
      <c r="L66" s="3331">
        <v>710</v>
      </c>
      <c r="M66" s="3331">
        <v>637</v>
      </c>
      <c r="N66" s="3331">
        <v>607</v>
      </c>
      <c r="O66" s="3332">
        <v>455</v>
      </c>
      <c r="P66" s="3333">
        <v>449</v>
      </c>
      <c r="Q66" s="3334">
        <v>677</v>
      </c>
      <c r="R66" s="3334">
        <v>399</v>
      </c>
      <c r="S66" s="3334">
        <v>431</v>
      </c>
      <c r="T66" s="3334">
        <v>467</v>
      </c>
      <c r="U66" s="3334">
        <v>553</v>
      </c>
      <c r="V66" s="3334">
        <v>1757</v>
      </c>
      <c r="W66" s="3334">
        <v>735</v>
      </c>
      <c r="X66" s="3334">
        <v>835</v>
      </c>
      <c r="Y66" s="3334">
        <v>626</v>
      </c>
      <c r="Z66" s="3334">
        <v>706</v>
      </c>
      <c r="AA66" s="3335">
        <v>541</v>
      </c>
      <c r="AB66" s="3336">
        <v>469</v>
      </c>
      <c r="AC66" s="3337">
        <v>395</v>
      </c>
      <c r="AD66" s="3337">
        <v>369</v>
      </c>
      <c r="AE66" s="3337">
        <v>552</v>
      </c>
      <c r="AF66" s="3337">
        <v>528.5</v>
      </c>
      <c r="AG66" s="3337">
        <v>505</v>
      </c>
      <c r="AH66" s="3337">
        <v>1602</v>
      </c>
      <c r="AI66" s="3337">
        <v>575</v>
      </c>
      <c r="AJ66" s="3337">
        <v>499</v>
      </c>
      <c r="AK66" s="3337">
        <v>639</v>
      </c>
      <c r="AL66" s="3337">
        <v>543</v>
      </c>
      <c r="AM66" s="3338">
        <v>581</v>
      </c>
      <c r="AN66" s="3339">
        <v>434</v>
      </c>
      <c r="AO66" s="3340">
        <v>396</v>
      </c>
      <c r="AP66" s="3340">
        <v>432</v>
      </c>
      <c r="AQ66" s="3340">
        <v>463</v>
      </c>
      <c r="AR66" s="3340">
        <v>441</v>
      </c>
      <c r="AS66" s="3340">
        <v>377</v>
      </c>
      <c r="AT66" s="3340">
        <v>1417</v>
      </c>
      <c r="AU66" s="3340">
        <v>511</v>
      </c>
      <c r="AV66" s="3340">
        <v>455</v>
      </c>
      <c r="AW66" s="3340">
        <v>706</v>
      </c>
      <c r="AX66" s="3340">
        <v>468</v>
      </c>
      <c r="AY66" s="3341">
        <v>524</v>
      </c>
      <c r="AZ66" s="3277">
        <v>438</v>
      </c>
      <c r="BA66" s="3277">
        <v>331</v>
      </c>
      <c r="BB66" s="3277">
        <v>359</v>
      </c>
      <c r="BC66" s="3277">
        <v>410</v>
      </c>
      <c r="BD66" s="3277">
        <v>374</v>
      </c>
      <c r="BE66" s="3277">
        <v>359</v>
      </c>
      <c r="BF66" s="3277">
        <v>1243</v>
      </c>
      <c r="BG66" s="3277">
        <v>455</v>
      </c>
      <c r="BH66" s="3277">
        <v>514</v>
      </c>
      <c r="BI66" s="3277">
        <v>723</v>
      </c>
      <c r="BJ66" s="3277">
        <v>623</v>
      </c>
      <c r="BK66" s="3374">
        <v>735</v>
      </c>
      <c r="BL66" s="3344">
        <v>332</v>
      </c>
      <c r="BM66" s="3345">
        <v>352</v>
      </c>
      <c r="BN66" s="3345">
        <v>638</v>
      </c>
      <c r="BO66" s="3345">
        <v>642</v>
      </c>
      <c r="BP66" s="3345">
        <v>601</v>
      </c>
      <c r="BQ66" s="3345">
        <v>662</v>
      </c>
      <c r="BR66" s="3345">
        <v>1316</v>
      </c>
      <c r="BS66" s="3345">
        <v>757</v>
      </c>
      <c r="BT66" s="3346">
        <v>771</v>
      </c>
      <c r="BU66" s="3346">
        <v>824</v>
      </c>
      <c r="BV66" s="3346">
        <v>633</v>
      </c>
      <c r="BW66" s="3347">
        <v>769</v>
      </c>
      <c r="BX66" s="3348">
        <v>724</v>
      </c>
      <c r="BY66" s="3273">
        <v>624</v>
      </c>
      <c r="BZ66" s="3273">
        <v>698</v>
      </c>
      <c r="CA66" s="3273">
        <v>891</v>
      </c>
      <c r="CB66" s="3273">
        <v>886</v>
      </c>
      <c r="CC66" s="3273">
        <v>710</v>
      </c>
      <c r="CD66" s="3273">
        <v>1482</v>
      </c>
      <c r="CE66" s="3273">
        <v>838</v>
      </c>
      <c r="CF66" s="3273">
        <v>807</v>
      </c>
      <c r="CG66" s="3273">
        <v>948</v>
      </c>
      <c r="CH66" s="3273">
        <v>938</v>
      </c>
      <c r="CI66" s="3275">
        <v>944</v>
      </c>
      <c r="CJ66" s="3349">
        <v>899</v>
      </c>
      <c r="CK66" s="3350">
        <v>843</v>
      </c>
      <c r="CL66" s="3350">
        <v>878</v>
      </c>
      <c r="CM66" s="3350">
        <v>841</v>
      </c>
      <c r="CN66" s="3350">
        <v>842</v>
      </c>
      <c r="CO66" s="3350">
        <v>797</v>
      </c>
      <c r="CP66" s="3350">
        <v>1571</v>
      </c>
      <c r="CQ66" s="3350">
        <v>851</v>
      </c>
      <c r="CR66" s="3350">
        <v>1035</v>
      </c>
      <c r="CS66" s="3350">
        <v>1030</v>
      </c>
      <c r="CT66" s="3350">
        <v>948</v>
      </c>
      <c r="CU66" s="3351">
        <v>981</v>
      </c>
      <c r="CV66" s="3349">
        <v>855</v>
      </c>
      <c r="CW66" s="3350">
        <v>841</v>
      </c>
      <c r="CX66" s="3272">
        <v>827</v>
      </c>
      <c r="CY66" s="3272">
        <v>901</v>
      </c>
      <c r="CZ66" s="3272">
        <v>901</v>
      </c>
      <c r="DA66" s="3272">
        <v>856</v>
      </c>
      <c r="DB66" s="3272">
        <v>1787</v>
      </c>
      <c r="DC66" s="3272">
        <v>764</v>
      </c>
      <c r="DD66" s="3272">
        <v>989</v>
      </c>
      <c r="DE66" s="3272">
        <v>1108</v>
      </c>
      <c r="DF66" s="3272">
        <v>937</v>
      </c>
      <c r="DG66" s="3351">
        <v>924</v>
      </c>
      <c r="DH66" s="3352">
        <v>975</v>
      </c>
      <c r="DI66" s="3353">
        <v>931</v>
      </c>
      <c r="DJ66" s="3353">
        <v>933</v>
      </c>
      <c r="DK66" s="3354">
        <v>938</v>
      </c>
      <c r="DL66" s="3354">
        <v>939</v>
      </c>
      <c r="DM66" s="3354">
        <v>948</v>
      </c>
      <c r="DN66" s="3354">
        <v>1894</v>
      </c>
      <c r="DO66" s="3354">
        <v>1056</v>
      </c>
      <c r="DP66" s="2556">
        <v>1150</v>
      </c>
      <c r="DQ66" s="3354">
        <v>1239</v>
      </c>
      <c r="DR66" s="3354">
        <v>926</v>
      </c>
      <c r="DS66" s="3355">
        <v>928</v>
      </c>
      <c r="DT66" s="3356">
        <v>846</v>
      </c>
      <c r="DU66" s="3243">
        <v>781</v>
      </c>
      <c r="DV66" s="3243">
        <v>837</v>
      </c>
      <c r="DW66" s="3164">
        <v>939</v>
      </c>
      <c r="DX66" s="3164">
        <v>801</v>
      </c>
      <c r="DY66" s="3164">
        <v>778</v>
      </c>
      <c r="DZ66" s="3164">
        <v>1612</v>
      </c>
      <c r="EA66" s="3164">
        <v>968</v>
      </c>
      <c r="EB66" s="3164">
        <v>1028</v>
      </c>
      <c r="EC66" s="3164">
        <v>920</v>
      </c>
      <c r="ED66" s="3164">
        <v>885</v>
      </c>
      <c r="EE66" s="3163">
        <v>950</v>
      </c>
      <c r="EF66" s="2532">
        <v>866</v>
      </c>
      <c r="EG66" s="2531">
        <v>853</v>
      </c>
      <c r="EH66" s="2531">
        <v>898</v>
      </c>
      <c r="EI66" s="2531">
        <v>1073</v>
      </c>
      <c r="EJ66" s="2531">
        <v>931</v>
      </c>
      <c r="EK66" s="2531">
        <v>941</v>
      </c>
      <c r="EL66" s="2531">
        <v>1802</v>
      </c>
      <c r="EM66" s="2557">
        <v>1092</v>
      </c>
      <c r="EN66" s="2557">
        <v>1158</v>
      </c>
      <c r="EO66" s="2558">
        <v>1103</v>
      </c>
      <c r="EP66" s="2558">
        <v>1010</v>
      </c>
      <c r="EQ66" s="2559">
        <v>1007</v>
      </c>
      <c r="ER66" s="1322">
        <v>981</v>
      </c>
      <c r="ES66" s="3357">
        <v>895</v>
      </c>
      <c r="ET66" s="3357">
        <v>974</v>
      </c>
      <c r="EU66" s="2560">
        <v>1041</v>
      </c>
      <c r="EV66" s="2106">
        <v>1032</v>
      </c>
      <c r="EW66" s="2106">
        <v>969</v>
      </c>
      <c r="EX66" s="2106">
        <v>2132</v>
      </c>
      <c r="EY66" s="2106">
        <v>1183</v>
      </c>
      <c r="EZ66" s="2106">
        <v>1236</v>
      </c>
      <c r="FA66" s="2275">
        <v>803</v>
      </c>
      <c r="FB66" s="2275">
        <v>1077</v>
      </c>
      <c r="FC66" s="2275">
        <v>1204</v>
      </c>
      <c r="FD66" s="2608">
        <v>1022</v>
      </c>
      <c r="FE66" s="2609">
        <v>944</v>
      </c>
      <c r="FF66" s="2609">
        <v>564</v>
      </c>
      <c r="FG66" s="2609">
        <v>50</v>
      </c>
      <c r="FH66" s="2609">
        <v>87</v>
      </c>
      <c r="FI66" s="2609">
        <v>159</v>
      </c>
      <c r="FJ66" s="2609">
        <v>268</v>
      </c>
      <c r="FK66" s="2609">
        <v>310</v>
      </c>
      <c r="FL66" s="2609">
        <v>137</v>
      </c>
      <c r="FM66" s="2609">
        <v>147</v>
      </c>
      <c r="FN66" s="2609">
        <v>115</v>
      </c>
      <c r="FO66" s="2610">
        <v>375</v>
      </c>
      <c r="FP66" s="2608">
        <v>346</v>
      </c>
      <c r="FQ66" s="2609">
        <v>103</v>
      </c>
      <c r="FR66" s="2609">
        <v>130</v>
      </c>
      <c r="FS66" s="2609">
        <v>121</v>
      </c>
      <c r="FT66" s="2609">
        <v>109</v>
      </c>
      <c r="FU66" s="2609"/>
      <c r="FV66" s="2609"/>
      <c r="FW66" s="2609"/>
      <c r="FX66" s="2609"/>
      <c r="FY66" s="2609"/>
      <c r="FZ66" s="2609"/>
      <c r="GA66" s="2614"/>
      <c r="GB66" s="2607"/>
      <c r="GC66" s="2754">
        <v>1066</v>
      </c>
      <c r="GD66" s="2755">
        <v>1085</v>
      </c>
      <c r="GE66" s="2755">
        <v>2644</v>
      </c>
      <c r="GF66" s="2756">
        <v>1699</v>
      </c>
      <c r="GG66" s="2757">
        <v>1525</v>
      </c>
      <c r="GH66" s="2758">
        <v>1451</v>
      </c>
      <c r="GI66" s="2758">
        <v>3327</v>
      </c>
      <c r="GJ66" s="2759">
        <v>1873</v>
      </c>
      <c r="GK66" s="2760">
        <v>1233</v>
      </c>
      <c r="GL66" s="2761">
        <v>1585.5</v>
      </c>
      <c r="GM66" s="2762">
        <v>2676</v>
      </c>
      <c r="GN66" s="2762">
        <v>1763</v>
      </c>
      <c r="GO66" s="2763">
        <v>1262</v>
      </c>
      <c r="GP66" s="2764">
        <v>1281</v>
      </c>
      <c r="GQ66" s="2764">
        <v>2383</v>
      </c>
      <c r="GR66" s="2765">
        <v>1698</v>
      </c>
      <c r="GS66" s="2766">
        <v>1128</v>
      </c>
      <c r="GT66" s="2767">
        <v>1143</v>
      </c>
      <c r="GU66" s="2767">
        <v>2212</v>
      </c>
      <c r="GV66" s="2768">
        <v>2081</v>
      </c>
      <c r="GW66" s="2764">
        <v>1322</v>
      </c>
      <c r="GX66" s="2764">
        <v>1905</v>
      </c>
      <c r="GY66" s="2764">
        <v>2844</v>
      </c>
      <c r="GZ66" s="2764">
        <v>2226</v>
      </c>
      <c r="HA66" s="2769">
        <v>2046</v>
      </c>
      <c r="HB66" s="2769">
        <v>2487</v>
      </c>
      <c r="HC66" s="2769">
        <v>3127</v>
      </c>
      <c r="HD66" s="2769">
        <v>2830</v>
      </c>
      <c r="HE66" s="2770">
        <v>2620</v>
      </c>
      <c r="HF66" s="2770">
        <v>2480</v>
      </c>
      <c r="HG66" s="2770">
        <f t="shared" si="17"/>
        <v>3457</v>
      </c>
      <c r="HH66" s="2770">
        <v>2959</v>
      </c>
      <c r="HI66" s="2771">
        <v>2523</v>
      </c>
      <c r="HJ66" s="2771">
        <f t="shared" si="18"/>
        <v>2658</v>
      </c>
      <c r="HK66" s="2771">
        <f t="shared" si="19"/>
        <v>3540</v>
      </c>
      <c r="HL66" s="2770">
        <f t="shared" si="20"/>
        <v>2969</v>
      </c>
      <c r="HM66" s="2689">
        <f t="shared" si="21"/>
        <v>2839</v>
      </c>
      <c r="HN66" s="2689">
        <f t="shared" si="22"/>
        <v>2825</v>
      </c>
      <c r="HO66" s="2689">
        <f t="shared" si="23"/>
        <v>3878</v>
      </c>
      <c r="HP66" s="2689">
        <f t="shared" si="24"/>
        <v>3093</v>
      </c>
      <c r="HQ66" s="2764">
        <f t="shared" si="25"/>
        <v>2464</v>
      </c>
      <c r="HR66" s="2764">
        <f t="shared" si="26"/>
        <v>2518</v>
      </c>
      <c r="HS66" s="2764">
        <f t="shared" si="27"/>
        <v>3608</v>
      </c>
      <c r="HT66" s="2764">
        <f t="shared" si="28"/>
        <v>2755</v>
      </c>
      <c r="HU66" s="2772">
        <f t="shared" si="29"/>
        <v>2617</v>
      </c>
      <c r="HV66" s="2769">
        <f t="shared" si="30"/>
        <v>2945</v>
      </c>
      <c r="HW66" s="2769">
        <f t="shared" si="31"/>
        <v>4052</v>
      </c>
      <c r="HX66" s="2769">
        <f t="shared" si="32"/>
        <v>3120</v>
      </c>
      <c r="HY66" s="2773">
        <f t="shared" si="33"/>
        <v>2850</v>
      </c>
      <c r="HZ66" s="2774">
        <f t="shared" si="34"/>
        <v>3042</v>
      </c>
      <c r="IA66" s="2774">
        <f t="shared" si="35"/>
        <v>4551</v>
      </c>
      <c r="IB66" s="2774">
        <f t="shared" si="36"/>
        <v>3084</v>
      </c>
      <c r="IC66" s="2775">
        <f t="shared" si="65"/>
        <v>2530</v>
      </c>
      <c r="ID66" s="2776">
        <f t="shared" si="66"/>
        <v>296</v>
      </c>
      <c r="IE66" s="2776">
        <f>FJ66+FK66+FL66</f>
        <v>715</v>
      </c>
      <c r="IF66" s="2777">
        <f>FM66+FN66+FO66</f>
        <v>637</v>
      </c>
      <c r="IG66" s="2772">
        <f t="shared" si="51"/>
        <v>579</v>
      </c>
      <c r="IH66" s="2769">
        <f t="shared" si="52"/>
        <v>230</v>
      </c>
      <c r="II66" s="2769">
        <f t="shared" si="53"/>
        <v>0</v>
      </c>
      <c r="IJ66" s="2769">
        <f t="shared" si="54"/>
        <v>0</v>
      </c>
      <c r="IK66" s="2578"/>
      <c r="IL66" s="3358">
        <v>6494</v>
      </c>
      <c r="IM66" s="3359">
        <v>8176</v>
      </c>
      <c r="IN66" s="3359">
        <v>7257.5</v>
      </c>
      <c r="IO66" s="3359">
        <v>6624</v>
      </c>
      <c r="IP66" s="3359">
        <v>6564</v>
      </c>
      <c r="IQ66" s="3359">
        <v>8297</v>
      </c>
      <c r="IR66" s="3360">
        <v>10490</v>
      </c>
      <c r="IS66" s="3361">
        <v>11516</v>
      </c>
      <c r="IT66" s="3361">
        <f t="shared" si="37"/>
        <v>11690</v>
      </c>
      <c r="IU66" s="3361">
        <f t="shared" si="38"/>
        <v>12857</v>
      </c>
      <c r="IV66" s="3361">
        <f t="shared" si="39"/>
        <v>11345</v>
      </c>
      <c r="IW66" s="3361">
        <f t="shared" si="40"/>
        <v>12734</v>
      </c>
      <c r="IX66" s="3362">
        <f t="shared" si="55"/>
        <v>13527</v>
      </c>
      <c r="IY66" s="3380">
        <f>SUM(FD66:FO66)</f>
        <v>4178</v>
      </c>
      <c r="IZ66" s="3378">
        <f t="shared" si="57"/>
        <v>2661</v>
      </c>
      <c r="JA66" s="3579">
        <f t="shared" si="58"/>
        <v>809</v>
      </c>
      <c r="JC66" s="3365">
        <f t="shared" si="59"/>
        <v>3419.5</v>
      </c>
      <c r="JD66" s="3366">
        <f t="shared" si="42"/>
        <v>2.0485129679140124E-2</v>
      </c>
      <c r="JE66" s="3366">
        <f t="shared" si="43"/>
        <v>1.7375496032505731E-2</v>
      </c>
      <c r="JF66" s="3366">
        <f t="shared" si="60"/>
        <v>1.8606350180452667E-2</v>
      </c>
      <c r="JG66" s="3366">
        <f t="shared" si="56"/>
        <v>1.9765046245561742E-2</v>
      </c>
      <c r="JH66" s="3366">
        <f t="shared" si="61"/>
        <v>2.194131826465074E-2</v>
      </c>
      <c r="JI66" s="3379">
        <f t="shared" si="62"/>
        <v>9.4698856923230226E-3</v>
      </c>
      <c r="JJ66" s="3366"/>
      <c r="JK66" s="3368">
        <f t="shared" si="44"/>
        <v>-0.11760130668118529</v>
      </c>
      <c r="JL66" s="3369">
        <f t="shared" si="45"/>
        <v>-0.73403593373259701</v>
      </c>
      <c r="JM66" s="3369">
        <f t="shared" si="46"/>
        <v>0.12243278977523131</v>
      </c>
      <c r="JN66" s="3369">
        <f t="shared" si="46"/>
        <v>6.2274226480288908E-2</v>
      </c>
      <c r="JO66" s="3369">
        <f t="shared" si="46"/>
        <v>-0.69113624602646562</v>
      </c>
      <c r="JP66" s="3370">
        <f t="shared" si="63"/>
        <v>-0.80328232424040813</v>
      </c>
      <c r="JQ66" s="3371">
        <f t="shared" si="64"/>
        <v>-0.36309238870272853</v>
      </c>
      <c r="JS66" s="3045"/>
      <c r="JT66" s="3045"/>
      <c r="JU66" s="3045"/>
      <c r="JV66" s="3045"/>
      <c r="JW66" s="3045"/>
      <c r="JX66" s="3045"/>
      <c r="JY66" s="3045"/>
      <c r="JZ66" s="3045"/>
      <c r="KA66" s="3045"/>
      <c r="KB66" s="3045"/>
      <c r="KC66" s="3045"/>
      <c r="KD66" s="3045"/>
      <c r="KE66" s="3045"/>
      <c r="KF66" s="3045"/>
      <c r="KG66" s="3045"/>
      <c r="KH66" s="3045"/>
      <c r="KI66" s="3045"/>
      <c r="KJ66" s="3045"/>
      <c r="KK66" s="3045"/>
      <c r="KL66" s="3045"/>
      <c r="KM66" s="3045"/>
      <c r="KN66" s="3045"/>
      <c r="KO66" s="3045"/>
    </row>
    <row r="67" spans="1:301" ht="21.9" customHeight="1">
      <c r="A67" s="3382"/>
      <c r="B67" s="3045"/>
      <c r="C67" s="3381" t="s">
        <v>1480</v>
      </c>
      <c r="D67" s="3330">
        <v>133</v>
      </c>
      <c r="E67" s="3331">
        <v>92</v>
      </c>
      <c r="F67" s="3331">
        <v>219</v>
      </c>
      <c r="G67" s="3331">
        <v>122</v>
      </c>
      <c r="H67" s="3331">
        <v>192</v>
      </c>
      <c r="I67" s="3331">
        <v>123</v>
      </c>
      <c r="J67" s="3331">
        <v>158</v>
      </c>
      <c r="K67" s="3331">
        <v>152</v>
      </c>
      <c r="L67" s="3331">
        <v>231</v>
      </c>
      <c r="M67" s="3331">
        <v>178</v>
      </c>
      <c r="N67" s="3331">
        <v>149</v>
      </c>
      <c r="O67" s="3332">
        <v>195</v>
      </c>
      <c r="P67" s="3333">
        <v>187</v>
      </c>
      <c r="Q67" s="3334">
        <v>200</v>
      </c>
      <c r="R67" s="3334">
        <v>290</v>
      </c>
      <c r="S67" s="3334">
        <v>345</v>
      </c>
      <c r="T67" s="3334">
        <v>276</v>
      </c>
      <c r="U67" s="3334">
        <v>382</v>
      </c>
      <c r="V67" s="3334">
        <v>2179</v>
      </c>
      <c r="W67" s="3334">
        <v>1374</v>
      </c>
      <c r="X67" s="3334">
        <v>1684</v>
      </c>
      <c r="Y67" s="3334">
        <v>1102</v>
      </c>
      <c r="Z67" s="3334">
        <v>766</v>
      </c>
      <c r="AA67" s="3335">
        <v>229</v>
      </c>
      <c r="AB67" s="3336">
        <v>215</v>
      </c>
      <c r="AC67" s="3337">
        <v>310</v>
      </c>
      <c r="AD67" s="3337">
        <v>284</v>
      </c>
      <c r="AE67" s="3337">
        <v>259</v>
      </c>
      <c r="AF67" s="3337">
        <v>282</v>
      </c>
      <c r="AG67" s="3337">
        <v>305</v>
      </c>
      <c r="AH67" s="3337">
        <v>334</v>
      </c>
      <c r="AI67" s="3337">
        <v>413</v>
      </c>
      <c r="AJ67" s="3337">
        <v>465</v>
      </c>
      <c r="AK67" s="3337">
        <v>391</v>
      </c>
      <c r="AL67" s="3337">
        <v>626</v>
      </c>
      <c r="AM67" s="3338">
        <v>354</v>
      </c>
      <c r="AN67" s="3339">
        <v>309</v>
      </c>
      <c r="AO67" s="3340">
        <v>310</v>
      </c>
      <c r="AP67" s="3340">
        <v>261</v>
      </c>
      <c r="AQ67" s="3340">
        <v>201</v>
      </c>
      <c r="AR67" s="3340">
        <v>223</v>
      </c>
      <c r="AS67" s="3340">
        <v>264</v>
      </c>
      <c r="AT67" s="3340">
        <v>253</v>
      </c>
      <c r="AU67" s="3340">
        <v>336</v>
      </c>
      <c r="AV67" s="3340">
        <v>245</v>
      </c>
      <c r="AW67" s="3340">
        <v>111</v>
      </c>
      <c r="AX67" s="3340">
        <v>335</v>
      </c>
      <c r="AY67" s="3341">
        <v>418</v>
      </c>
      <c r="AZ67" s="3277">
        <v>275</v>
      </c>
      <c r="BA67" s="3277">
        <v>351</v>
      </c>
      <c r="BB67" s="3277">
        <v>351</v>
      </c>
      <c r="BC67" s="3277">
        <v>297</v>
      </c>
      <c r="BD67" s="3277">
        <v>296</v>
      </c>
      <c r="BE67" s="3277">
        <v>312</v>
      </c>
      <c r="BF67" s="3277">
        <v>299</v>
      </c>
      <c r="BG67" s="3277">
        <v>450</v>
      </c>
      <c r="BH67" s="3277">
        <v>428</v>
      </c>
      <c r="BI67" s="3277">
        <v>477</v>
      </c>
      <c r="BJ67" s="3277">
        <v>485</v>
      </c>
      <c r="BK67" s="3374">
        <v>438</v>
      </c>
      <c r="BL67" s="3344">
        <v>198</v>
      </c>
      <c r="BM67" s="3345">
        <v>557</v>
      </c>
      <c r="BN67" s="3345">
        <v>561</v>
      </c>
      <c r="BO67" s="3345">
        <v>523</v>
      </c>
      <c r="BP67" s="3345">
        <v>701</v>
      </c>
      <c r="BQ67" s="3345">
        <v>470</v>
      </c>
      <c r="BR67" s="3345">
        <v>598</v>
      </c>
      <c r="BS67" s="3345">
        <v>647</v>
      </c>
      <c r="BT67" s="3346">
        <v>674</v>
      </c>
      <c r="BU67" s="3346">
        <v>826</v>
      </c>
      <c r="BV67" s="3346">
        <v>646</v>
      </c>
      <c r="BW67" s="3347">
        <v>532</v>
      </c>
      <c r="BX67" s="3348">
        <v>83</v>
      </c>
      <c r="BY67" s="3273">
        <v>440</v>
      </c>
      <c r="BZ67" s="3273">
        <v>582</v>
      </c>
      <c r="CA67" s="3273">
        <v>655</v>
      </c>
      <c r="CB67" s="3273">
        <v>704</v>
      </c>
      <c r="CC67" s="3273">
        <v>612</v>
      </c>
      <c r="CD67" s="3273">
        <v>427</v>
      </c>
      <c r="CE67" s="3273">
        <v>751</v>
      </c>
      <c r="CF67" s="3273">
        <v>724</v>
      </c>
      <c r="CG67" s="3273">
        <v>697</v>
      </c>
      <c r="CH67" s="3273">
        <v>655</v>
      </c>
      <c r="CI67" s="3275">
        <v>657</v>
      </c>
      <c r="CJ67" s="3349">
        <v>636</v>
      </c>
      <c r="CK67" s="3350">
        <v>674</v>
      </c>
      <c r="CL67" s="3350">
        <v>840</v>
      </c>
      <c r="CM67" s="3350">
        <v>702</v>
      </c>
      <c r="CN67" s="3350">
        <v>659</v>
      </c>
      <c r="CO67" s="3350">
        <v>639</v>
      </c>
      <c r="CP67" s="3350">
        <v>825</v>
      </c>
      <c r="CQ67" s="3350">
        <v>721</v>
      </c>
      <c r="CR67" s="3350">
        <v>869</v>
      </c>
      <c r="CS67" s="3350">
        <v>817</v>
      </c>
      <c r="CT67" s="3350">
        <v>785</v>
      </c>
      <c r="CU67" s="3351">
        <v>701</v>
      </c>
      <c r="CV67" s="3349">
        <v>740</v>
      </c>
      <c r="CW67" s="3350">
        <v>531</v>
      </c>
      <c r="CX67" s="3272">
        <v>1029</v>
      </c>
      <c r="CY67" s="3272">
        <v>933</v>
      </c>
      <c r="CZ67" s="3272">
        <v>904</v>
      </c>
      <c r="DA67" s="3272">
        <v>798</v>
      </c>
      <c r="DB67" s="3272">
        <v>804</v>
      </c>
      <c r="DC67" s="3272">
        <v>967</v>
      </c>
      <c r="DD67" s="3272">
        <v>871</v>
      </c>
      <c r="DE67" s="3272">
        <v>837</v>
      </c>
      <c r="DF67" s="3272">
        <v>793</v>
      </c>
      <c r="DG67" s="3351">
        <v>654</v>
      </c>
      <c r="DH67" s="3352">
        <v>624</v>
      </c>
      <c r="DI67" s="3353">
        <v>600</v>
      </c>
      <c r="DJ67" s="3353">
        <v>1169</v>
      </c>
      <c r="DK67" s="3354">
        <v>845</v>
      </c>
      <c r="DL67" s="3354">
        <v>896</v>
      </c>
      <c r="DM67" s="3354">
        <v>878</v>
      </c>
      <c r="DN67" s="3354">
        <v>890</v>
      </c>
      <c r="DO67" s="3354">
        <v>1046</v>
      </c>
      <c r="DP67" s="2556">
        <v>969</v>
      </c>
      <c r="DQ67" s="3354">
        <v>1285</v>
      </c>
      <c r="DR67" s="3354">
        <v>1577</v>
      </c>
      <c r="DS67" s="3355">
        <v>1083</v>
      </c>
      <c r="DT67" s="3356">
        <v>863</v>
      </c>
      <c r="DU67" s="3243">
        <v>879</v>
      </c>
      <c r="DV67" s="3243">
        <v>1309</v>
      </c>
      <c r="DW67" s="3164">
        <v>1057</v>
      </c>
      <c r="DX67" s="3164">
        <v>1204</v>
      </c>
      <c r="DY67" s="3164">
        <v>1104</v>
      </c>
      <c r="DZ67" s="3164">
        <v>1164</v>
      </c>
      <c r="EA67" s="3164">
        <v>1313</v>
      </c>
      <c r="EB67" s="3164">
        <v>1214</v>
      </c>
      <c r="EC67" s="3164">
        <v>1036</v>
      </c>
      <c r="ED67" s="3164">
        <v>1147</v>
      </c>
      <c r="EE67" s="3163">
        <v>1102</v>
      </c>
      <c r="EF67" s="2532">
        <v>938</v>
      </c>
      <c r="EG67" s="2531">
        <v>995</v>
      </c>
      <c r="EH67" s="2531">
        <v>1373</v>
      </c>
      <c r="EI67" s="2531">
        <v>866</v>
      </c>
      <c r="EJ67" s="2531">
        <v>931</v>
      </c>
      <c r="EK67" s="2531">
        <v>952</v>
      </c>
      <c r="EL67" s="2531">
        <v>1110</v>
      </c>
      <c r="EM67" s="2557">
        <v>924</v>
      </c>
      <c r="EN67" s="2557">
        <v>1152</v>
      </c>
      <c r="EO67" s="2558">
        <v>876</v>
      </c>
      <c r="EP67" s="2558">
        <v>1153</v>
      </c>
      <c r="EQ67" s="2559">
        <v>969</v>
      </c>
      <c r="ER67" s="1320">
        <v>840</v>
      </c>
      <c r="ES67" s="3357">
        <v>981</v>
      </c>
      <c r="ET67" s="3357">
        <v>1154</v>
      </c>
      <c r="EU67" s="2560">
        <v>849</v>
      </c>
      <c r="EV67" s="2104">
        <v>1263</v>
      </c>
      <c r="EW67" s="2104">
        <v>1087</v>
      </c>
      <c r="EX67" s="2104">
        <v>1326</v>
      </c>
      <c r="EY67" s="2104">
        <v>1264</v>
      </c>
      <c r="EZ67" s="2104">
        <v>1156</v>
      </c>
      <c r="FA67" s="2275">
        <v>845</v>
      </c>
      <c r="FB67" s="2275">
        <v>961</v>
      </c>
      <c r="FC67" s="2275">
        <v>979</v>
      </c>
      <c r="FD67" s="2608">
        <v>895</v>
      </c>
      <c r="FE67" s="2609">
        <v>578</v>
      </c>
      <c r="FF67" s="2609">
        <v>220</v>
      </c>
      <c r="FG67" s="2609"/>
      <c r="FH67" s="2609"/>
      <c r="FI67" s="2609">
        <v>2</v>
      </c>
      <c r="FJ67" s="2609">
        <v>70</v>
      </c>
      <c r="FK67" s="2609">
        <v>91</v>
      </c>
      <c r="FL67" s="2609">
        <v>153</v>
      </c>
      <c r="FM67" s="2609">
        <v>172</v>
      </c>
      <c r="FN67" s="2609">
        <v>167</v>
      </c>
      <c r="FO67" s="2610">
        <v>211</v>
      </c>
      <c r="FP67" s="2608">
        <v>166</v>
      </c>
      <c r="FQ67" s="2609">
        <v>194</v>
      </c>
      <c r="FR67" s="2609">
        <v>301</v>
      </c>
      <c r="FS67" s="2609">
        <v>270</v>
      </c>
      <c r="FT67" s="2609">
        <v>275</v>
      </c>
      <c r="FU67" s="2609"/>
      <c r="FV67" s="2609"/>
      <c r="FW67" s="2609"/>
      <c r="FX67" s="2609"/>
      <c r="FY67" s="2609"/>
      <c r="FZ67" s="2609"/>
      <c r="GA67" s="2614"/>
      <c r="GB67" s="2607"/>
      <c r="GC67" s="2754">
        <v>444</v>
      </c>
      <c r="GD67" s="2755">
        <v>437</v>
      </c>
      <c r="GE67" s="2755">
        <v>541</v>
      </c>
      <c r="GF67" s="2756">
        <v>522</v>
      </c>
      <c r="GG67" s="2757">
        <v>677</v>
      </c>
      <c r="GH67" s="2758">
        <v>1003</v>
      </c>
      <c r="GI67" s="2758">
        <v>5237</v>
      </c>
      <c r="GJ67" s="2759">
        <v>2097</v>
      </c>
      <c r="GK67" s="2760">
        <v>809</v>
      </c>
      <c r="GL67" s="2761">
        <v>846</v>
      </c>
      <c r="GM67" s="2762">
        <v>1212</v>
      </c>
      <c r="GN67" s="2762">
        <v>1371</v>
      </c>
      <c r="GO67" s="2763">
        <v>880</v>
      </c>
      <c r="GP67" s="2764">
        <v>688</v>
      </c>
      <c r="GQ67" s="2764">
        <v>834</v>
      </c>
      <c r="GR67" s="2765">
        <v>864</v>
      </c>
      <c r="GS67" s="2766">
        <v>977</v>
      </c>
      <c r="GT67" s="2767">
        <v>905</v>
      </c>
      <c r="GU67" s="2767">
        <v>1177</v>
      </c>
      <c r="GV67" s="2768">
        <v>1400</v>
      </c>
      <c r="GW67" s="2764">
        <v>1316</v>
      </c>
      <c r="GX67" s="2764">
        <v>1694</v>
      </c>
      <c r="GY67" s="2764">
        <v>1919</v>
      </c>
      <c r="GZ67" s="2764">
        <v>2004</v>
      </c>
      <c r="HA67" s="2769">
        <v>1105</v>
      </c>
      <c r="HB67" s="2769">
        <v>1971</v>
      </c>
      <c r="HC67" s="2769">
        <v>1902</v>
      </c>
      <c r="HD67" s="2769">
        <v>2009</v>
      </c>
      <c r="HE67" s="2770">
        <v>2150</v>
      </c>
      <c r="HF67" s="2770">
        <v>2000</v>
      </c>
      <c r="HG67" s="2770">
        <f t="shared" si="17"/>
        <v>2415</v>
      </c>
      <c r="HH67" s="2770">
        <v>2303</v>
      </c>
      <c r="HI67" s="2771">
        <v>2300</v>
      </c>
      <c r="HJ67" s="2771">
        <f t="shared" si="18"/>
        <v>2635</v>
      </c>
      <c r="HK67" s="2771">
        <f t="shared" si="19"/>
        <v>2642</v>
      </c>
      <c r="HL67" s="2770">
        <f t="shared" si="20"/>
        <v>2284</v>
      </c>
      <c r="HM67" s="2689">
        <f t="shared" si="21"/>
        <v>2393</v>
      </c>
      <c r="HN67" s="2689">
        <f t="shared" si="22"/>
        <v>2619</v>
      </c>
      <c r="HO67" s="2689">
        <f t="shared" si="23"/>
        <v>3019</v>
      </c>
      <c r="HP67" s="2689">
        <f t="shared" si="24"/>
        <v>3945</v>
      </c>
      <c r="HQ67" s="2764">
        <f t="shared" si="25"/>
        <v>3051</v>
      </c>
      <c r="HR67" s="2764">
        <f t="shared" si="26"/>
        <v>3365</v>
      </c>
      <c r="HS67" s="2764">
        <f t="shared" si="27"/>
        <v>3691</v>
      </c>
      <c r="HT67" s="2764">
        <f t="shared" si="28"/>
        <v>3285</v>
      </c>
      <c r="HU67" s="2772">
        <f t="shared" si="29"/>
        <v>3306</v>
      </c>
      <c r="HV67" s="2769">
        <f t="shared" si="30"/>
        <v>2749</v>
      </c>
      <c r="HW67" s="2769">
        <f t="shared" si="31"/>
        <v>3186</v>
      </c>
      <c r="HX67" s="2769">
        <f t="shared" si="32"/>
        <v>2998</v>
      </c>
      <c r="HY67" s="2773">
        <f t="shared" si="33"/>
        <v>2975</v>
      </c>
      <c r="HZ67" s="2774">
        <f t="shared" si="34"/>
        <v>3199</v>
      </c>
      <c r="IA67" s="2774">
        <f t="shared" si="35"/>
        <v>3746</v>
      </c>
      <c r="IB67" s="2774">
        <f t="shared" si="36"/>
        <v>2785</v>
      </c>
      <c r="IC67" s="2775">
        <f t="shared" si="65"/>
        <v>1693</v>
      </c>
      <c r="ID67" s="2776">
        <f t="shared" si="66"/>
        <v>2</v>
      </c>
      <c r="IE67" s="2776">
        <f t="shared" ref="IE67:IE86" si="67">FJ67+FK67+FL67</f>
        <v>314</v>
      </c>
      <c r="IF67" s="2777">
        <f t="shared" ref="IF67:IF86" si="68">FM67+FN67+FO67</f>
        <v>550</v>
      </c>
      <c r="IG67" s="2772">
        <f t="shared" si="51"/>
        <v>661</v>
      </c>
      <c r="IH67" s="2769">
        <f t="shared" si="52"/>
        <v>545</v>
      </c>
      <c r="II67" s="2769">
        <f t="shared" si="53"/>
        <v>0</v>
      </c>
      <c r="IJ67" s="2769">
        <f t="shared" si="54"/>
        <v>0</v>
      </c>
      <c r="IK67" s="2578"/>
      <c r="IL67" s="3358">
        <v>1944</v>
      </c>
      <c r="IM67" s="3359">
        <v>9014</v>
      </c>
      <c r="IN67" s="3359">
        <v>4238</v>
      </c>
      <c r="IO67" s="3359">
        <v>3266</v>
      </c>
      <c r="IP67" s="3359">
        <v>4459</v>
      </c>
      <c r="IQ67" s="3359">
        <v>6933</v>
      </c>
      <c r="IR67" s="3360">
        <v>6987</v>
      </c>
      <c r="IS67" s="3361">
        <v>8868</v>
      </c>
      <c r="IT67" s="3361">
        <f t="shared" si="37"/>
        <v>9861</v>
      </c>
      <c r="IU67" s="3361">
        <f t="shared" si="38"/>
        <v>11862</v>
      </c>
      <c r="IV67" s="3361">
        <f t="shared" si="39"/>
        <v>13392</v>
      </c>
      <c r="IW67" s="3361">
        <f t="shared" si="40"/>
        <v>12239</v>
      </c>
      <c r="IX67" s="3362">
        <f t="shared" si="55"/>
        <v>12705</v>
      </c>
      <c r="IY67" s="3380">
        <f t="shared" ref="IY67:IY83" si="69">SUM(FD67:FO67)</f>
        <v>2559</v>
      </c>
      <c r="IZ67" s="3378">
        <f t="shared" si="57"/>
        <v>1446</v>
      </c>
      <c r="JA67" s="3579">
        <f t="shared" si="58"/>
        <v>1206</v>
      </c>
      <c r="JC67" s="3365">
        <f t="shared" si="59"/>
        <v>2002.5</v>
      </c>
      <c r="JD67" s="3366">
        <f t="shared" si="42"/>
        <v>1.8899790639648452E-2</v>
      </c>
      <c r="JE67" s="3366">
        <f t="shared" si="43"/>
        <v>2.0510589939825189E-2</v>
      </c>
      <c r="JF67" s="3366">
        <f t="shared" si="60"/>
        <v>1.7883078361752801E-2</v>
      </c>
      <c r="JG67" s="3366">
        <f t="shared" si="56"/>
        <v>1.8563976679963179E-2</v>
      </c>
      <c r="JH67" s="3366">
        <f t="shared" si="61"/>
        <v>1.3438926146299962E-2</v>
      </c>
      <c r="JI67" s="3379">
        <f t="shared" si="62"/>
        <v>5.1459807257042802E-3</v>
      </c>
      <c r="JJ67" s="3366"/>
      <c r="JK67" s="3368">
        <f t="shared" si="44"/>
        <v>0.1289833080424887</v>
      </c>
      <c r="JL67" s="3369">
        <f t="shared" si="45"/>
        <v>-0.83118361153262521</v>
      </c>
      <c r="JM67" s="3369">
        <f t="shared" si="46"/>
        <v>-8.6096176821983228E-2</v>
      </c>
      <c r="JN67" s="3369">
        <f t="shared" si="46"/>
        <v>3.8075006127951561E-2</v>
      </c>
      <c r="JO67" s="3369">
        <f t="shared" si="46"/>
        <v>-0.79858323494687133</v>
      </c>
      <c r="JP67" s="3370">
        <f t="shared" si="63"/>
        <v>-0.88618654073199532</v>
      </c>
      <c r="JQ67" s="3371">
        <f t="shared" si="64"/>
        <v>-0.43493552168815941</v>
      </c>
      <c r="JS67" s="3045"/>
      <c r="JT67" s="3045"/>
      <c r="JU67" s="3045"/>
      <c r="JV67" s="3045"/>
      <c r="JW67" s="3045"/>
      <c r="JX67" s="3045"/>
      <c r="JY67" s="3045"/>
      <c r="JZ67" s="3045"/>
      <c r="KA67" s="3045"/>
      <c r="KB67" s="3045"/>
      <c r="KC67" s="3045"/>
      <c r="KD67" s="3045"/>
      <c r="KE67" s="3045"/>
      <c r="KF67" s="3045"/>
      <c r="KG67" s="3045"/>
      <c r="KH67" s="3045"/>
      <c r="KI67" s="3045"/>
      <c r="KJ67" s="3045"/>
      <c r="KK67" s="3045"/>
      <c r="KL67" s="3045"/>
      <c r="KM67" s="3045"/>
      <c r="KN67" s="3045"/>
      <c r="KO67" s="3045"/>
    </row>
    <row r="68" spans="1:301" ht="21.9" customHeight="1">
      <c r="A68" s="3372"/>
      <c r="B68" s="3045"/>
      <c r="C68" s="3373" t="s">
        <v>12</v>
      </c>
      <c r="D68" s="3330">
        <v>802</v>
      </c>
      <c r="E68" s="3331">
        <v>792</v>
      </c>
      <c r="F68" s="3331">
        <v>587</v>
      </c>
      <c r="G68" s="3331">
        <v>506</v>
      </c>
      <c r="H68" s="3331">
        <v>581</v>
      </c>
      <c r="I68" s="3331">
        <v>629</v>
      </c>
      <c r="J68" s="3331">
        <v>849</v>
      </c>
      <c r="K68" s="3331">
        <v>779</v>
      </c>
      <c r="L68" s="3331">
        <v>784</v>
      </c>
      <c r="M68" s="3331">
        <v>779</v>
      </c>
      <c r="N68" s="3331">
        <v>668</v>
      </c>
      <c r="O68" s="3332">
        <v>701</v>
      </c>
      <c r="P68" s="3333">
        <v>1001</v>
      </c>
      <c r="Q68" s="3334">
        <v>1416</v>
      </c>
      <c r="R68" s="3334">
        <v>639</v>
      </c>
      <c r="S68" s="3334">
        <v>628</v>
      </c>
      <c r="T68" s="3334">
        <v>690</v>
      </c>
      <c r="U68" s="3334">
        <v>720</v>
      </c>
      <c r="V68" s="3334">
        <v>888</v>
      </c>
      <c r="W68" s="3334">
        <v>967</v>
      </c>
      <c r="X68" s="3334">
        <v>909</v>
      </c>
      <c r="Y68" s="3334">
        <v>1253</v>
      </c>
      <c r="Z68" s="3334">
        <v>761</v>
      </c>
      <c r="AA68" s="3335">
        <v>760</v>
      </c>
      <c r="AB68" s="3336">
        <v>1134</v>
      </c>
      <c r="AC68" s="3337">
        <v>933</v>
      </c>
      <c r="AD68" s="3337">
        <v>642</v>
      </c>
      <c r="AE68" s="3337">
        <v>704</v>
      </c>
      <c r="AF68" s="3337">
        <v>710.5</v>
      </c>
      <c r="AG68" s="3337">
        <v>717</v>
      </c>
      <c r="AH68" s="3337">
        <v>970</v>
      </c>
      <c r="AI68" s="3337">
        <v>720</v>
      </c>
      <c r="AJ68" s="3337">
        <v>889</v>
      </c>
      <c r="AK68" s="3337">
        <v>728</v>
      </c>
      <c r="AL68" s="3337">
        <v>715</v>
      </c>
      <c r="AM68" s="3338">
        <v>609</v>
      </c>
      <c r="AN68" s="3339">
        <v>929</v>
      </c>
      <c r="AO68" s="3340">
        <v>1114</v>
      </c>
      <c r="AP68" s="3340">
        <v>507</v>
      </c>
      <c r="AQ68" s="3340">
        <v>594</v>
      </c>
      <c r="AR68" s="3340">
        <v>755</v>
      </c>
      <c r="AS68" s="3340">
        <v>691</v>
      </c>
      <c r="AT68" s="3340">
        <v>751</v>
      </c>
      <c r="AU68" s="3340">
        <v>618</v>
      </c>
      <c r="AV68" s="3340">
        <v>842</v>
      </c>
      <c r="AW68" s="3340">
        <v>882</v>
      </c>
      <c r="AX68" s="3340">
        <v>665</v>
      </c>
      <c r="AY68" s="3341">
        <v>729</v>
      </c>
      <c r="AZ68" s="3277">
        <v>1099</v>
      </c>
      <c r="BA68" s="3277">
        <v>1133</v>
      </c>
      <c r="BB68" s="3277">
        <v>791</v>
      </c>
      <c r="BC68" s="3277">
        <v>698</v>
      </c>
      <c r="BD68" s="3277">
        <v>822</v>
      </c>
      <c r="BE68" s="3277">
        <v>1050</v>
      </c>
      <c r="BF68" s="3277">
        <v>1309</v>
      </c>
      <c r="BG68" s="3277">
        <v>1070</v>
      </c>
      <c r="BH68" s="3277">
        <v>936</v>
      </c>
      <c r="BI68" s="3277">
        <v>966</v>
      </c>
      <c r="BJ68" s="3277">
        <v>790</v>
      </c>
      <c r="BK68" s="3374">
        <v>1233</v>
      </c>
      <c r="BL68" s="3344">
        <v>1072</v>
      </c>
      <c r="BM68" s="3345">
        <v>1312</v>
      </c>
      <c r="BN68" s="3345">
        <v>911</v>
      </c>
      <c r="BO68" s="3345">
        <v>896</v>
      </c>
      <c r="BP68" s="3345">
        <v>1004</v>
      </c>
      <c r="BQ68" s="3345">
        <v>1107</v>
      </c>
      <c r="BR68" s="3345">
        <v>1277</v>
      </c>
      <c r="BS68" s="3345">
        <v>1067</v>
      </c>
      <c r="BT68" s="3346">
        <v>1066</v>
      </c>
      <c r="BU68" s="3346">
        <v>2214</v>
      </c>
      <c r="BV68" s="3346">
        <v>992</v>
      </c>
      <c r="BW68" s="3347">
        <v>895</v>
      </c>
      <c r="BX68" s="3348">
        <v>1139</v>
      </c>
      <c r="BY68" s="3273">
        <v>1193</v>
      </c>
      <c r="BZ68" s="3273">
        <v>722</v>
      </c>
      <c r="CA68" s="3273">
        <v>797</v>
      </c>
      <c r="CB68" s="3273">
        <v>886</v>
      </c>
      <c r="CC68" s="3273">
        <v>854</v>
      </c>
      <c r="CD68" s="3273">
        <v>1141</v>
      </c>
      <c r="CE68" s="3273">
        <v>1070</v>
      </c>
      <c r="CF68" s="3273">
        <v>1090</v>
      </c>
      <c r="CG68" s="3273">
        <v>1003</v>
      </c>
      <c r="CH68" s="3273">
        <v>834</v>
      </c>
      <c r="CI68" s="3275">
        <v>772</v>
      </c>
      <c r="CJ68" s="3349">
        <v>967</v>
      </c>
      <c r="CK68" s="3350">
        <v>1087</v>
      </c>
      <c r="CL68" s="3350">
        <v>951</v>
      </c>
      <c r="CM68" s="3350">
        <v>958</v>
      </c>
      <c r="CN68" s="3350">
        <v>1130</v>
      </c>
      <c r="CO68" s="3350">
        <v>879</v>
      </c>
      <c r="CP68" s="3350">
        <v>1213</v>
      </c>
      <c r="CQ68" s="3350">
        <v>1124</v>
      </c>
      <c r="CR68" s="3350">
        <v>1100</v>
      </c>
      <c r="CS68" s="3350">
        <v>1128</v>
      </c>
      <c r="CT68" s="3350">
        <v>1166</v>
      </c>
      <c r="CU68" s="3351">
        <v>1185</v>
      </c>
      <c r="CV68" s="3349">
        <v>1056</v>
      </c>
      <c r="CW68" s="3350">
        <v>1492</v>
      </c>
      <c r="CX68" s="3272">
        <v>967</v>
      </c>
      <c r="CY68" s="3272">
        <v>831</v>
      </c>
      <c r="CZ68" s="3272">
        <v>973</v>
      </c>
      <c r="DA68" s="3272">
        <v>804</v>
      </c>
      <c r="DB68" s="3272">
        <v>1001</v>
      </c>
      <c r="DC68" s="3272">
        <v>697</v>
      </c>
      <c r="DD68" s="3272">
        <v>700</v>
      </c>
      <c r="DE68" s="3272">
        <v>837</v>
      </c>
      <c r="DF68" s="3272">
        <v>824</v>
      </c>
      <c r="DG68" s="3351">
        <v>804</v>
      </c>
      <c r="DH68" s="3352">
        <v>874</v>
      </c>
      <c r="DI68" s="3353">
        <v>931</v>
      </c>
      <c r="DJ68" s="3353">
        <v>634</v>
      </c>
      <c r="DK68" s="3354">
        <v>630</v>
      </c>
      <c r="DL68" s="3354">
        <v>593</v>
      </c>
      <c r="DM68" s="3354">
        <v>783</v>
      </c>
      <c r="DN68" s="3354">
        <v>933</v>
      </c>
      <c r="DO68" s="3354">
        <v>646</v>
      </c>
      <c r="DP68" s="2556">
        <v>846</v>
      </c>
      <c r="DQ68" s="3354">
        <v>1359</v>
      </c>
      <c r="DR68" s="3354">
        <v>938</v>
      </c>
      <c r="DS68" s="3355">
        <v>883</v>
      </c>
      <c r="DT68" s="3356">
        <v>1275</v>
      </c>
      <c r="DU68" s="3243">
        <v>1308</v>
      </c>
      <c r="DV68" s="3243">
        <v>867</v>
      </c>
      <c r="DW68" s="3164">
        <v>810</v>
      </c>
      <c r="DX68" s="3164">
        <v>726</v>
      </c>
      <c r="DY68" s="3164">
        <v>709</v>
      </c>
      <c r="DZ68" s="3164">
        <v>1106</v>
      </c>
      <c r="EA68" s="3164">
        <v>799</v>
      </c>
      <c r="EB68" s="3164">
        <v>770</v>
      </c>
      <c r="EC68" s="3164">
        <v>928</v>
      </c>
      <c r="ED68" s="3164">
        <v>755</v>
      </c>
      <c r="EE68" s="3163">
        <v>901</v>
      </c>
      <c r="EF68" s="2532">
        <v>1141</v>
      </c>
      <c r="EG68" s="2531">
        <v>1396</v>
      </c>
      <c r="EH68" s="2531">
        <v>984</v>
      </c>
      <c r="EI68" s="2531">
        <v>888</v>
      </c>
      <c r="EJ68" s="2531">
        <v>825</v>
      </c>
      <c r="EK68" s="2531">
        <v>879</v>
      </c>
      <c r="EL68" s="2531">
        <v>1124</v>
      </c>
      <c r="EM68" s="2557">
        <v>824</v>
      </c>
      <c r="EN68" s="2557">
        <v>945</v>
      </c>
      <c r="EO68" s="2558">
        <v>1036</v>
      </c>
      <c r="EP68" s="2558">
        <v>853</v>
      </c>
      <c r="EQ68" s="2559">
        <v>802</v>
      </c>
      <c r="ER68" s="1320">
        <v>1003</v>
      </c>
      <c r="ES68" s="3357">
        <v>1204</v>
      </c>
      <c r="ET68" s="3357">
        <v>853</v>
      </c>
      <c r="EU68" s="2560">
        <v>1299</v>
      </c>
      <c r="EV68" s="2104">
        <v>1321</v>
      </c>
      <c r="EW68" s="2104">
        <v>1452</v>
      </c>
      <c r="EX68" s="2104">
        <v>1791</v>
      </c>
      <c r="EY68" s="2104">
        <v>1495</v>
      </c>
      <c r="EZ68" s="2104">
        <v>1858</v>
      </c>
      <c r="FA68" s="2275">
        <v>1132</v>
      </c>
      <c r="FB68" s="2275">
        <v>1226</v>
      </c>
      <c r="FC68" s="2275">
        <v>1409</v>
      </c>
      <c r="FD68" s="2608">
        <v>1782</v>
      </c>
      <c r="FE68" s="2609">
        <v>1775</v>
      </c>
      <c r="FF68" s="2609">
        <v>541</v>
      </c>
      <c r="FG68" s="2609">
        <v>13</v>
      </c>
      <c r="FH68" s="2609">
        <v>9</v>
      </c>
      <c r="FI68" s="2609">
        <v>19</v>
      </c>
      <c r="FJ68" s="2609">
        <v>29</v>
      </c>
      <c r="FK68" s="2609">
        <v>30</v>
      </c>
      <c r="FL68" s="2609">
        <v>64</v>
      </c>
      <c r="FM68" s="2609">
        <v>142</v>
      </c>
      <c r="FN68" s="2609">
        <v>127</v>
      </c>
      <c r="FO68" s="2610">
        <v>326</v>
      </c>
      <c r="FP68" s="2608">
        <v>263</v>
      </c>
      <c r="FQ68" s="2609">
        <v>165</v>
      </c>
      <c r="FR68" s="2609">
        <v>208</v>
      </c>
      <c r="FS68" s="2609">
        <v>113</v>
      </c>
      <c r="FT68" s="2609">
        <v>145</v>
      </c>
      <c r="FU68" s="2609"/>
      <c r="FV68" s="2609"/>
      <c r="FW68" s="2609"/>
      <c r="FX68" s="2609"/>
      <c r="FY68" s="2609"/>
      <c r="FZ68" s="2609"/>
      <c r="GA68" s="2614"/>
      <c r="GB68" s="2607"/>
      <c r="GC68" s="2754">
        <v>2181</v>
      </c>
      <c r="GD68" s="2755">
        <v>1716</v>
      </c>
      <c r="GE68" s="2755">
        <v>2412</v>
      </c>
      <c r="GF68" s="2756">
        <v>2148</v>
      </c>
      <c r="GG68" s="2757">
        <v>3056</v>
      </c>
      <c r="GH68" s="2758">
        <v>2038</v>
      </c>
      <c r="GI68" s="2758">
        <v>2764</v>
      </c>
      <c r="GJ68" s="2759">
        <v>2774</v>
      </c>
      <c r="GK68" s="2760">
        <v>2709</v>
      </c>
      <c r="GL68" s="2761">
        <v>2131.5</v>
      </c>
      <c r="GM68" s="2762">
        <v>2579</v>
      </c>
      <c r="GN68" s="2762">
        <v>2052</v>
      </c>
      <c r="GO68" s="2763">
        <v>2550</v>
      </c>
      <c r="GP68" s="2764">
        <v>2040</v>
      </c>
      <c r="GQ68" s="2764">
        <v>2211</v>
      </c>
      <c r="GR68" s="2765">
        <v>2276</v>
      </c>
      <c r="GS68" s="2766">
        <v>3023</v>
      </c>
      <c r="GT68" s="2767">
        <v>2570</v>
      </c>
      <c r="GU68" s="2767">
        <v>3315</v>
      </c>
      <c r="GV68" s="2768">
        <v>2989</v>
      </c>
      <c r="GW68" s="2764">
        <v>3295</v>
      </c>
      <c r="GX68" s="2764">
        <v>3007</v>
      </c>
      <c r="GY68" s="2764">
        <v>3410</v>
      </c>
      <c r="GZ68" s="2764">
        <v>4101</v>
      </c>
      <c r="HA68" s="2769">
        <v>3054</v>
      </c>
      <c r="HB68" s="2769">
        <v>2537</v>
      </c>
      <c r="HC68" s="2769">
        <v>3301</v>
      </c>
      <c r="HD68" s="2769">
        <v>2609</v>
      </c>
      <c r="HE68" s="2770">
        <v>3005</v>
      </c>
      <c r="HF68" s="2770">
        <v>2967</v>
      </c>
      <c r="HG68" s="2770">
        <f t="shared" si="17"/>
        <v>3437</v>
      </c>
      <c r="HH68" s="2770">
        <v>3479</v>
      </c>
      <c r="HI68" s="2771">
        <v>3515</v>
      </c>
      <c r="HJ68" s="2771">
        <f t="shared" si="18"/>
        <v>2608</v>
      </c>
      <c r="HK68" s="2771">
        <f t="shared" si="19"/>
        <v>2398</v>
      </c>
      <c r="HL68" s="2770">
        <f t="shared" si="20"/>
        <v>2465</v>
      </c>
      <c r="HM68" s="2689">
        <f t="shared" si="21"/>
        <v>2439</v>
      </c>
      <c r="HN68" s="2689">
        <f t="shared" si="22"/>
        <v>2006</v>
      </c>
      <c r="HO68" s="2689">
        <f t="shared" si="23"/>
        <v>2462</v>
      </c>
      <c r="HP68" s="2689">
        <f t="shared" si="24"/>
        <v>3180</v>
      </c>
      <c r="HQ68" s="2764">
        <f t="shared" si="25"/>
        <v>3450</v>
      </c>
      <c r="HR68" s="2764">
        <f t="shared" si="26"/>
        <v>2245</v>
      </c>
      <c r="HS68" s="2764">
        <f t="shared" si="27"/>
        <v>2675</v>
      </c>
      <c r="HT68" s="2764">
        <f t="shared" si="28"/>
        <v>2584</v>
      </c>
      <c r="HU68" s="2772">
        <f t="shared" si="29"/>
        <v>3521</v>
      </c>
      <c r="HV68" s="2769">
        <f t="shared" si="30"/>
        <v>2592</v>
      </c>
      <c r="HW68" s="2769">
        <f t="shared" si="31"/>
        <v>2893</v>
      </c>
      <c r="HX68" s="2769">
        <f t="shared" si="32"/>
        <v>2691</v>
      </c>
      <c r="HY68" s="2773">
        <f t="shared" si="33"/>
        <v>3060</v>
      </c>
      <c r="HZ68" s="2774">
        <f t="shared" si="34"/>
        <v>4072</v>
      </c>
      <c r="IA68" s="2774">
        <f t="shared" si="35"/>
        <v>5144</v>
      </c>
      <c r="IB68" s="2774">
        <f t="shared" si="36"/>
        <v>3767</v>
      </c>
      <c r="IC68" s="2775">
        <f t="shared" si="65"/>
        <v>4098</v>
      </c>
      <c r="ID68" s="2776">
        <f t="shared" si="66"/>
        <v>41</v>
      </c>
      <c r="IE68" s="2776">
        <f t="shared" si="67"/>
        <v>123</v>
      </c>
      <c r="IF68" s="2777">
        <f t="shared" si="68"/>
        <v>595</v>
      </c>
      <c r="IG68" s="2772">
        <f t="shared" si="51"/>
        <v>636</v>
      </c>
      <c r="IH68" s="2769">
        <f t="shared" si="52"/>
        <v>258</v>
      </c>
      <c r="II68" s="2769">
        <f t="shared" si="53"/>
        <v>0</v>
      </c>
      <c r="IJ68" s="2769">
        <f t="shared" si="54"/>
        <v>0</v>
      </c>
      <c r="IK68" s="2578"/>
      <c r="IL68" s="3358">
        <v>8457</v>
      </c>
      <c r="IM68" s="3359">
        <v>10632</v>
      </c>
      <c r="IN68" s="3359">
        <v>9471.5</v>
      </c>
      <c r="IO68" s="3359">
        <v>9077</v>
      </c>
      <c r="IP68" s="3359">
        <v>11897</v>
      </c>
      <c r="IQ68" s="3359">
        <v>13813</v>
      </c>
      <c r="IR68" s="3360">
        <v>11501</v>
      </c>
      <c r="IS68" s="3361">
        <v>12888</v>
      </c>
      <c r="IT68" s="3361">
        <f t="shared" si="37"/>
        <v>10986</v>
      </c>
      <c r="IU68" s="3361">
        <f t="shared" si="38"/>
        <v>10050</v>
      </c>
      <c r="IV68" s="3361">
        <f t="shared" si="39"/>
        <v>10954</v>
      </c>
      <c r="IW68" s="3361">
        <f t="shared" si="40"/>
        <v>11697</v>
      </c>
      <c r="IX68" s="3362">
        <f t="shared" si="55"/>
        <v>16043</v>
      </c>
      <c r="IY68" s="3380">
        <f t="shared" si="69"/>
        <v>4857</v>
      </c>
      <c r="IZ68" s="3378">
        <f t="shared" si="57"/>
        <v>1728</v>
      </c>
      <c r="JA68" s="3579">
        <f t="shared" si="58"/>
        <v>894</v>
      </c>
      <c r="JC68" s="3365">
        <f t="shared" si="59"/>
        <v>3292.5</v>
      </c>
      <c r="JD68" s="3366">
        <f t="shared" si="42"/>
        <v>1.6012720951649548E-2</v>
      </c>
      <c r="JE68" s="3366">
        <f t="shared" si="43"/>
        <v>1.6776657870433476E-2</v>
      </c>
      <c r="JF68" s="3366">
        <f t="shared" si="60"/>
        <v>1.7091132249156184E-2</v>
      </c>
      <c r="JG68" s="3366">
        <f t="shared" si="56"/>
        <v>2.3441312701822061E-2</v>
      </c>
      <c r="JH68" s="3366">
        <f t="shared" si="61"/>
        <v>2.5507176355052334E-2</v>
      </c>
      <c r="JI68" s="3379">
        <f t="shared" si="62"/>
        <v>6.1495537303022105E-3</v>
      </c>
      <c r="JJ68" s="3366"/>
      <c r="JK68" s="3368">
        <f t="shared" si="44"/>
        <v>8.9950248756218931E-2</v>
      </c>
      <c r="JL68" s="3369">
        <f t="shared" si="45"/>
        <v>-0.67238805970149251</v>
      </c>
      <c r="JM68" s="3369">
        <f t="shared" si="46"/>
        <v>6.7829103523826983E-2</v>
      </c>
      <c r="JN68" s="3369">
        <f t="shared" si="46"/>
        <v>0.37154826023766785</v>
      </c>
      <c r="JO68" s="3369">
        <f t="shared" si="46"/>
        <v>-0.69725113756778656</v>
      </c>
      <c r="JP68" s="3370">
        <f t="shared" si="63"/>
        <v>-0.89228947204388209</v>
      </c>
      <c r="JQ68" s="3371">
        <f t="shared" si="64"/>
        <v>-0.644224830142063</v>
      </c>
      <c r="JS68" s="3045"/>
      <c r="JT68" s="3045"/>
      <c r="JU68" s="3045"/>
      <c r="JV68" s="3045"/>
      <c r="JW68" s="3045"/>
      <c r="JX68" s="3045"/>
      <c r="JY68" s="3045"/>
      <c r="JZ68" s="3045"/>
      <c r="KA68" s="3045"/>
      <c r="KB68" s="3045"/>
      <c r="KC68" s="3045"/>
      <c r="KD68" s="3045"/>
      <c r="KE68" s="3045"/>
      <c r="KF68" s="3045"/>
      <c r="KG68" s="3045"/>
      <c r="KH68" s="3045"/>
      <c r="KI68" s="3045"/>
      <c r="KJ68" s="3045"/>
      <c r="KK68" s="3045"/>
      <c r="KL68" s="3045"/>
      <c r="KM68" s="3045"/>
      <c r="KN68" s="3045"/>
      <c r="KO68" s="3045"/>
    </row>
    <row r="69" spans="1:301" ht="21.9" customHeight="1">
      <c r="A69" s="3382"/>
      <c r="B69" s="3045"/>
      <c r="C69" s="3381" t="s">
        <v>13</v>
      </c>
      <c r="D69" s="3330">
        <v>89</v>
      </c>
      <c r="E69" s="3331">
        <v>97</v>
      </c>
      <c r="F69" s="3331">
        <v>98</v>
      </c>
      <c r="G69" s="3331">
        <v>73</v>
      </c>
      <c r="H69" s="3331">
        <v>107</v>
      </c>
      <c r="I69" s="3331">
        <v>108</v>
      </c>
      <c r="J69" s="3331">
        <v>114</v>
      </c>
      <c r="K69" s="3331">
        <v>116</v>
      </c>
      <c r="L69" s="3331">
        <v>115</v>
      </c>
      <c r="M69" s="3331">
        <v>116</v>
      </c>
      <c r="N69" s="3331">
        <v>219</v>
      </c>
      <c r="O69" s="3332">
        <v>117</v>
      </c>
      <c r="P69" s="3333">
        <v>110</v>
      </c>
      <c r="Q69" s="3334">
        <v>177</v>
      </c>
      <c r="R69" s="3334">
        <v>117</v>
      </c>
      <c r="S69" s="3334">
        <v>96</v>
      </c>
      <c r="T69" s="3334">
        <v>143</v>
      </c>
      <c r="U69" s="3334">
        <v>107</v>
      </c>
      <c r="V69" s="3334">
        <v>186</v>
      </c>
      <c r="W69" s="3334">
        <v>197</v>
      </c>
      <c r="X69" s="3334">
        <v>181</v>
      </c>
      <c r="Y69" s="3334">
        <v>189</v>
      </c>
      <c r="Z69" s="3334">
        <v>292</v>
      </c>
      <c r="AA69" s="3335">
        <v>152</v>
      </c>
      <c r="AB69" s="3336">
        <v>164</v>
      </c>
      <c r="AC69" s="3337">
        <v>132</v>
      </c>
      <c r="AD69" s="3337">
        <v>166</v>
      </c>
      <c r="AE69" s="3337">
        <v>106</v>
      </c>
      <c r="AF69" s="3337">
        <v>116.5</v>
      </c>
      <c r="AG69" s="3337">
        <v>127</v>
      </c>
      <c r="AH69" s="3337">
        <v>145</v>
      </c>
      <c r="AI69" s="3337">
        <v>105</v>
      </c>
      <c r="AJ69" s="3337">
        <v>149</v>
      </c>
      <c r="AK69" s="3337">
        <v>163</v>
      </c>
      <c r="AL69" s="3337">
        <v>184</v>
      </c>
      <c r="AM69" s="3338">
        <v>125</v>
      </c>
      <c r="AN69" s="3339">
        <v>154</v>
      </c>
      <c r="AO69" s="3340">
        <v>218</v>
      </c>
      <c r="AP69" s="3340">
        <v>150</v>
      </c>
      <c r="AQ69" s="3340">
        <v>189</v>
      </c>
      <c r="AR69" s="3340">
        <v>141</v>
      </c>
      <c r="AS69" s="3340">
        <v>141</v>
      </c>
      <c r="AT69" s="3340">
        <v>147</v>
      </c>
      <c r="AU69" s="3340">
        <v>136</v>
      </c>
      <c r="AV69" s="3340">
        <v>118</v>
      </c>
      <c r="AW69" s="3340">
        <v>121</v>
      </c>
      <c r="AX69" s="3340">
        <v>165</v>
      </c>
      <c r="AY69" s="3341">
        <v>149</v>
      </c>
      <c r="AZ69" s="3277">
        <v>161</v>
      </c>
      <c r="BA69" s="3277">
        <v>180</v>
      </c>
      <c r="BB69" s="3277">
        <v>463</v>
      </c>
      <c r="BC69" s="3277">
        <v>340</v>
      </c>
      <c r="BD69" s="3277">
        <v>336</v>
      </c>
      <c r="BE69" s="3277">
        <v>396</v>
      </c>
      <c r="BF69" s="3277">
        <v>334</v>
      </c>
      <c r="BG69" s="3277">
        <v>362</v>
      </c>
      <c r="BH69" s="3277">
        <v>336</v>
      </c>
      <c r="BI69" s="3277">
        <v>395</v>
      </c>
      <c r="BJ69" s="3277">
        <v>356</v>
      </c>
      <c r="BK69" s="3374">
        <v>381</v>
      </c>
      <c r="BL69" s="3344">
        <v>131</v>
      </c>
      <c r="BM69" s="3345">
        <v>193</v>
      </c>
      <c r="BN69" s="3345">
        <v>397</v>
      </c>
      <c r="BO69" s="3345">
        <v>386</v>
      </c>
      <c r="BP69" s="3345">
        <v>468</v>
      </c>
      <c r="BQ69" s="3345">
        <v>379</v>
      </c>
      <c r="BR69" s="3345">
        <v>392</v>
      </c>
      <c r="BS69" s="3345">
        <v>350</v>
      </c>
      <c r="BT69" s="3346">
        <v>379</v>
      </c>
      <c r="BU69" s="3346">
        <v>342</v>
      </c>
      <c r="BV69" s="3346">
        <v>432</v>
      </c>
      <c r="BW69" s="3347">
        <v>353</v>
      </c>
      <c r="BX69" s="3348">
        <v>362</v>
      </c>
      <c r="BY69" s="3273">
        <v>407</v>
      </c>
      <c r="BZ69" s="3273">
        <v>490</v>
      </c>
      <c r="CA69" s="3273">
        <v>520</v>
      </c>
      <c r="CB69" s="3273">
        <v>497</v>
      </c>
      <c r="CC69" s="3273">
        <v>497</v>
      </c>
      <c r="CD69" s="3273">
        <v>513</v>
      </c>
      <c r="CE69" s="3273">
        <v>460</v>
      </c>
      <c r="CF69" s="3273">
        <v>520</v>
      </c>
      <c r="CG69" s="3273">
        <v>501</v>
      </c>
      <c r="CH69" s="3273">
        <v>503</v>
      </c>
      <c r="CI69" s="3275">
        <v>525</v>
      </c>
      <c r="CJ69" s="3349">
        <v>471</v>
      </c>
      <c r="CK69" s="3350">
        <v>474</v>
      </c>
      <c r="CL69" s="3350">
        <v>491</v>
      </c>
      <c r="CM69" s="3350">
        <v>485</v>
      </c>
      <c r="CN69" s="3350">
        <v>565</v>
      </c>
      <c r="CO69" s="3350">
        <v>493</v>
      </c>
      <c r="CP69" s="3350">
        <v>498</v>
      </c>
      <c r="CQ69" s="3350">
        <v>493</v>
      </c>
      <c r="CR69" s="3350">
        <v>543</v>
      </c>
      <c r="CS69" s="3350">
        <v>389</v>
      </c>
      <c r="CT69" s="3350">
        <v>471</v>
      </c>
      <c r="CU69" s="3351">
        <v>478</v>
      </c>
      <c r="CV69" s="3349">
        <v>398</v>
      </c>
      <c r="CW69" s="3350">
        <v>376</v>
      </c>
      <c r="CX69" s="3272">
        <v>343</v>
      </c>
      <c r="CY69" s="3272">
        <v>380</v>
      </c>
      <c r="CZ69" s="3272">
        <v>488</v>
      </c>
      <c r="DA69" s="3272">
        <v>366</v>
      </c>
      <c r="DB69" s="3272">
        <v>598</v>
      </c>
      <c r="DC69" s="3272">
        <v>512</v>
      </c>
      <c r="DD69" s="3272">
        <v>557</v>
      </c>
      <c r="DE69" s="3272">
        <v>698</v>
      </c>
      <c r="DF69" s="3272">
        <v>731</v>
      </c>
      <c r="DG69" s="3351">
        <v>700</v>
      </c>
      <c r="DH69" s="3352">
        <v>891</v>
      </c>
      <c r="DI69" s="3353">
        <v>862</v>
      </c>
      <c r="DJ69" s="3353">
        <v>915</v>
      </c>
      <c r="DK69" s="3354">
        <v>629</v>
      </c>
      <c r="DL69" s="3354">
        <v>786</v>
      </c>
      <c r="DM69" s="3354">
        <v>756</v>
      </c>
      <c r="DN69" s="3354">
        <v>817</v>
      </c>
      <c r="DO69" s="3354">
        <v>802</v>
      </c>
      <c r="DP69" s="2556">
        <v>586</v>
      </c>
      <c r="DQ69" s="3354">
        <v>872</v>
      </c>
      <c r="DR69" s="3354">
        <v>883</v>
      </c>
      <c r="DS69" s="3355">
        <v>763</v>
      </c>
      <c r="DT69" s="3356">
        <v>841</v>
      </c>
      <c r="DU69" s="3243">
        <v>806</v>
      </c>
      <c r="DV69" s="3243">
        <v>689</v>
      </c>
      <c r="DW69" s="3164">
        <v>656</v>
      </c>
      <c r="DX69" s="3164">
        <v>636</v>
      </c>
      <c r="DY69" s="3164">
        <v>814</v>
      </c>
      <c r="DZ69" s="3164">
        <v>711</v>
      </c>
      <c r="EA69" s="3164">
        <v>815</v>
      </c>
      <c r="EB69" s="3164">
        <v>811</v>
      </c>
      <c r="EC69" s="3164">
        <v>824</v>
      </c>
      <c r="ED69" s="3164">
        <v>864</v>
      </c>
      <c r="EE69" s="3163">
        <v>729</v>
      </c>
      <c r="EF69" s="2532">
        <v>769</v>
      </c>
      <c r="EG69" s="2531">
        <v>683</v>
      </c>
      <c r="EH69" s="2531">
        <v>727</v>
      </c>
      <c r="EI69" s="2531">
        <v>707</v>
      </c>
      <c r="EJ69" s="2531">
        <v>717</v>
      </c>
      <c r="EK69" s="2531">
        <v>800</v>
      </c>
      <c r="EL69" s="2531">
        <v>836</v>
      </c>
      <c r="EM69" s="2557">
        <v>819</v>
      </c>
      <c r="EN69" s="2557">
        <v>868</v>
      </c>
      <c r="EO69" s="2558">
        <v>902</v>
      </c>
      <c r="EP69" s="2558">
        <v>926</v>
      </c>
      <c r="EQ69" s="2559">
        <v>860</v>
      </c>
      <c r="ER69" s="1323">
        <v>840</v>
      </c>
      <c r="ES69" s="3357">
        <v>828</v>
      </c>
      <c r="ET69" s="3357">
        <v>1084</v>
      </c>
      <c r="EU69" s="2560">
        <v>812</v>
      </c>
      <c r="EV69" s="2107">
        <v>848</v>
      </c>
      <c r="EW69" s="2107">
        <v>1008</v>
      </c>
      <c r="EX69" s="2107">
        <v>995</v>
      </c>
      <c r="EY69" s="2107">
        <v>1071</v>
      </c>
      <c r="EZ69" s="2107">
        <v>633</v>
      </c>
      <c r="FA69" s="2275">
        <v>594</v>
      </c>
      <c r="FB69" s="2275">
        <v>724</v>
      </c>
      <c r="FC69" s="2275">
        <v>705</v>
      </c>
      <c r="FD69" s="2615">
        <v>773</v>
      </c>
      <c r="FE69" s="2616">
        <v>747</v>
      </c>
      <c r="FF69" s="2616">
        <v>271</v>
      </c>
      <c r="FG69" s="2616"/>
      <c r="FH69" s="2616"/>
      <c r="FI69" s="2616"/>
      <c r="FJ69" s="2616">
        <v>1</v>
      </c>
      <c r="FK69" s="2616">
        <v>15</v>
      </c>
      <c r="FL69" s="2616">
        <v>5</v>
      </c>
      <c r="FM69" s="2616">
        <v>40</v>
      </c>
      <c r="FN69" s="2616">
        <v>320</v>
      </c>
      <c r="FO69" s="2617">
        <v>353</v>
      </c>
      <c r="FP69" s="2615">
        <v>378</v>
      </c>
      <c r="FQ69" s="2616">
        <v>219</v>
      </c>
      <c r="FR69" s="2616">
        <v>215</v>
      </c>
      <c r="FS69" s="2616">
        <v>218</v>
      </c>
      <c r="FT69" s="2616">
        <v>265</v>
      </c>
      <c r="FU69" s="2616"/>
      <c r="FV69" s="2616"/>
      <c r="FW69" s="2616"/>
      <c r="FX69" s="2616"/>
      <c r="FY69" s="2616"/>
      <c r="FZ69" s="2616"/>
      <c r="GA69" s="2618"/>
      <c r="GB69" s="2607"/>
      <c r="GC69" s="2754">
        <v>284</v>
      </c>
      <c r="GD69" s="2755">
        <v>288</v>
      </c>
      <c r="GE69" s="2755">
        <v>345</v>
      </c>
      <c r="GF69" s="2756">
        <v>452</v>
      </c>
      <c r="GG69" s="2757">
        <v>404</v>
      </c>
      <c r="GH69" s="2758">
        <v>346</v>
      </c>
      <c r="GI69" s="2758">
        <v>564</v>
      </c>
      <c r="GJ69" s="2759">
        <v>633</v>
      </c>
      <c r="GK69" s="2760">
        <v>462</v>
      </c>
      <c r="GL69" s="2761">
        <v>349.5</v>
      </c>
      <c r="GM69" s="2762">
        <v>399</v>
      </c>
      <c r="GN69" s="2762">
        <v>472</v>
      </c>
      <c r="GO69" s="2763">
        <v>522</v>
      </c>
      <c r="GP69" s="2764">
        <v>471</v>
      </c>
      <c r="GQ69" s="2764">
        <v>401</v>
      </c>
      <c r="GR69" s="2765">
        <v>435</v>
      </c>
      <c r="GS69" s="2766">
        <v>804</v>
      </c>
      <c r="GT69" s="2767">
        <v>1072</v>
      </c>
      <c r="GU69" s="2767">
        <v>1032</v>
      </c>
      <c r="GV69" s="2768">
        <v>1132</v>
      </c>
      <c r="GW69" s="2764">
        <v>721</v>
      </c>
      <c r="GX69" s="2764">
        <v>1233</v>
      </c>
      <c r="GY69" s="2764">
        <v>1121</v>
      </c>
      <c r="GZ69" s="2764">
        <v>1127</v>
      </c>
      <c r="HA69" s="2769">
        <v>1259</v>
      </c>
      <c r="HB69" s="2769">
        <v>1514</v>
      </c>
      <c r="HC69" s="2769">
        <v>1493</v>
      </c>
      <c r="HD69" s="2769">
        <v>1529</v>
      </c>
      <c r="HE69" s="2770">
        <v>1436</v>
      </c>
      <c r="HF69" s="2770">
        <v>1543</v>
      </c>
      <c r="HG69" s="2770">
        <f t="shared" si="17"/>
        <v>1534</v>
      </c>
      <c r="HH69" s="2770">
        <v>1338</v>
      </c>
      <c r="HI69" s="2771">
        <v>1117</v>
      </c>
      <c r="HJ69" s="2771">
        <f t="shared" si="18"/>
        <v>1234</v>
      </c>
      <c r="HK69" s="2771">
        <f t="shared" si="19"/>
        <v>1667</v>
      </c>
      <c r="HL69" s="2770">
        <f t="shared" si="20"/>
        <v>2129</v>
      </c>
      <c r="HM69" s="2689">
        <f t="shared" si="21"/>
        <v>2668</v>
      </c>
      <c r="HN69" s="2689">
        <f t="shared" si="22"/>
        <v>2171</v>
      </c>
      <c r="HO69" s="2689">
        <f t="shared" si="23"/>
        <v>2382</v>
      </c>
      <c r="HP69" s="2689">
        <f t="shared" si="24"/>
        <v>2518</v>
      </c>
      <c r="HQ69" s="2764">
        <f t="shared" si="25"/>
        <v>2336</v>
      </c>
      <c r="HR69" s="2764">
        <f t="shared" si="26"/>
        <v>2106</v>
      </c>
      <c r="HS69" s="2764">
        <f t="shared" si="27"/>
        <v>2337</v>
      </c>
      <c r="HT69" s="2764">
        <f t="shared" si="28"/>
        <v>2417</v>
      </c>
      <c r="HU69" s="2772">
        <f t="shared" si="29"/>
        <v>2179</v>
      </c>
      <c r="HV69" s="2769">
        <f t="shared" si="30"/>
        <v>2224</v>
      </c>
      <c r="HW69" s="2769">
        <f t="shared" si="31"/>
        <v>2523</v>
      </c>
      <c r="HX69" s="2769">
        <f t="shared" si="32"/>
        <v>2688</v>
      </c>
      <c r="HY69" s="2773">
        <f t="shared" si="33"/>
        <v>2752</v>
      </c>
      <c r="HZ69" s="2774">
        <f t="shared" si="34"/>
        <v>2668</v>
      </c>
      <c r="IA69" s="2774">
        <f t="shared" si="35"/>
        <v>2699</v>
      </c>
      <c r="IB69" s="2774">
        <f t="shared" si="36"/>
        <v>2023</v>
      </c>
      <c r="IC69" s="2775">
        <f t="shared" si="65"/>
        <v>1791</v>
      </c>
      <c r="ID69" s="2776">
        <f t="shared" si="66"/>
        <v>0</v>
      </c>
      <c r="IE69" s="2776">
        <f t="shared" si="67"/>
        <v>21</v>
      </c>
      <c r="IF69" s="2777">
        <f t="shared" si="68"/>
        <v>713</v>
      </c>
      <c r="IG69" s="2772">
        <f t="shared" si="51"/>
        <v>812</v>
      </c>
      <c r="IH69" s="2769">
        <f t="shared" si="52"/>
        <v>483</v>
      </c>
      <c r="II69" s="2769">
        <f t="shared" si="53"/>
        <v>0</v>
      </c>
      <c r="IJ69" s="2769">
        <f t="shared" si="54"/>
        <v>0</v>
      </c>
      <c r="IK69" s="2578"/>
      <c r="IL69" s="3358">
        <v>1369</v>
      </c>
      <c r="IM69" s="3359">
        <v>1947</v>
      </c>
      <c r="IN69" s="3359">
        <v>1682.5</v>
      </c>
      <c r="IO69" s="3359">
        <v>1829</v>
      </c>
      <c r="IP69" s="3359">
        <v>4040</v>
      </c>
      <c r="IQ69" s="3359">
        <v>4202</v>
      </c>
      <c r="IR69" s="3360">
        <v>5795</v>
      </c>
      <c r="IS69" s="3361">
        <v>5851</v>
      </c>
      <c r="IT69" s="3361">
        <f t="shared" si="37"/>
        <v>6147</v>
      </c>
      <c r="IU69" s="3361">
        <f t="shared" si="38"/>
        <v>9562</v>
      </c>
      <c r="IV69" s="3361">
        <f t="shared" si="39"/>
        <v>9196</v>
      </c>
      <c r="IW69" s="3361">
        <f t="shared" si="40"/>
        <v>9614</v>
      </c>
      <c r="IX69" s="3362">
        <f t="shared" si="55"/>
        <v>10142</v>
      </c>
      <c r="IY69" s="3380">
        <f t="shared" si="69"/>
        <v>2525</v>
      </c>
      <c r="IZ69" s="3378">
        <f t="shared" si="57"/>
        <v>1602</v>
      </c>
      <c r="JA69" s="3579">
        <f t="shared" si="58"/>
        <v>1295</v>
      </c>
      <c r="JC69" s="3365">
        <f t="shared" si="59"/>
        <v>2063.5</v>
      </c>
      <c r="JD69" s="3366">
        <f t="shared" si="42"/>
        <v>1.5235187834793332E-2</v>
      </c>
      <c r="JE69" s="3366">
        <f t="shared" si="43"/>
        <v>1.4084183474210905E-2</v>
      </c>
      <c r="JF69" s="3366">
        <f t="shared" si="60"/>
        <v>1.4047545989859583E-2</v>
      </c>
      <c r="JG69" s="3366">
        <f t="shared" si="56"/>
        <v>1.4819035929806105E-2</v>
      </c>
      <c r="JH69" s="3366">
        <f t="shared" si="61"/>
        <v>1.3260370660182652E-2</v>
      </c>
      <c r="JI69" s="3379">
        <f t="shared" si="62"/>
        <v>5.7011487708010077E-3</v>
      </c>
      <c r="JJ69" s="3366"/>
      <c r="JK69" s="3368">
        <f t="shared" si="44"/>
        <v>-3.8276511190127538E-2</v>
      </c>
      <c r="JL69" s="3369">
        <f t="shared" si="45"/>
        <v>-0.78419786655511403</v>
      </c>
      <c r="JM69" s="3369">
        <f t="shared" si="46"/>
        <v>4.5454545454545414E-2</v>
      </c>
      <c r="JN69" s="3369">
        <f t="shared" si="46"/>
        <v>5.4919908466819267E-2</v>
      </c>
      <c r="JO69" s="3369">
        <f t="shared" si="46"/>
        <v>-0.75103529875764152</v>
      </c>
      <c r="JP69" s="3370">
        <f t="shared" si="63"/>
        <v>-0.8420429895484125</v>
      </c>
      <c r="JQ69" s="3371">
        <f t="shared" si="64"/>
        <v>-0.36554455445544554</v>
      </c>
      <c r="JS69" s="3045"/>
      <c r="JT69" s="3045"/>
      <c r="JU69" s="3045"/>
      <c r="JV69" s="3045"/>
      <c r="JW69" s="3045"/>
      <c r="JX69" s="3045"/>
      <c r="JY69" s="3045"/>
      <c r="JZ69" s="3045"/>
      <c r="KA69" s="3045"/>
      <c r="KB69" s="3045"/>
      <c r="KC69" s="3045"/>
      <c r="KD69" s="3045"/>
      <c r="KE69" s="3045"/>
      <c r="KF69" s="3045"/>
      <c r="KG69" s="3045"/>
      <c r="KH69" s="3045"/>
      <c r="KI69" s="3045"/>
      <c r="KJ69" s="3045"/>
      <c r="KK69" s="3045"/>
      <c r="KL69" s="3045"/>
      <c r="KM69" s="3045"/>
      <c r="KN69" s="3045"/>
      <c r="KO69" s="3045"/>
    </row>
    <row r="70" spans="1:301" ht="21.9" customHeight="1">
      <c r="A70" s="3382"/>
      <c r="B70" s="3045"/>
      <c r="C70" s="3381" t="s">
        <v>20</v>
      </c>
      <c r="D70" s="3330">
        <v>549</v>
      </c>
      <c r="E70" s="3331">
        <v>378</v>
      </c>
      <c r="F70" s="3331">
        <v>399</v>
      </c>
      <c r="G70" s="3331">
        <v>391</v>
      </c>
      <c r="H70" s="3331">
        <v>397</v>
      </c>
      <c r="I70" s="3331">
        <v>487</v>
      </c>
      <c r="J70" s="3331">
        <v>844</v>
      </c>
      <c r="K70" s="3331">
        <v>1198</v>
      </c>
      <c r="L70" s="3331">
        <v>469</v>
      </c>
      <c r="M70" s="3331">
        <v>573</v>
      </c>
      <c r="N70" s="3331">
        <v>556</v>
      </c>
      <c r="O70" s="3332">
        <v>606</v>
      </c>
      <c r="P70" s="3333">
        <v>658</v>
      </c>
      <c r="Q70" s="3334">
        <v>721</v>
      </c>
      <c r="R70" s="3334">
        <v>522</v>
      </c>
      <c r="S70" s="3334">
        <v>491</v>
      </c>
      <c r="T70" s="3334">
        <v>485</v>
      </c>
      <c r="U70" s="3334">
        <v>640</v>
      </c>
      <c r="V70" s="3334">
        <v>950</v>
      </c>
      <c r="W70" s="3334">
        <v>1246</v>
      </c>
      <c r="X70" s="3334">
        <v>719</v>
      </c>
      <c r="Y70" s="3334">
        <v>629</v>
      </c>
      <c r="Z70" s="3334">
        <v>701</v>
      </c>
      <c r="AA70" s="3335">
        <v>596</v>
      </c>
      <c r="AB70" s="3336">
        <v>761</v>
      </c>
      <c r="AC70" s="3337">
        <v>540</v>
      </c>
      <c r="AD70" s="3337">
        <v>496</v>
      </c>
      <c r="AE70" s="3337">
        <v>503</v>
      </c>
      <c r="AF70" s="3337">
        <v>608</v>
      </c>
      <c r="AG70" s="3337">
        <v>713</v>
      </c>
      <c r="AH70" s="3337">
        <v>1022</v>
      </c>
      <c r="AI70" s="3337">
        <v>1396</v>
      </c>
      <c r="AJ70" s="3337">
        <v>602</v>
      </c>
      <c r="AK70" s="3337">
        <v>609</v>
      </c>
      <c r="AL70" s="3337">
        <v>680</v>
      </c>
      <c r="AM70" s="3338">
        <v>666</v>
      </c>
      <c r="AN70" s="3339">
        <v>637</v>
      </c>
      <c r="AO70" s="3340">
        <v>545</v>
      </c>
      <c r="AP70" s="3340">
        <v>550</v>
      </c>
      <c r="AQ70" s="3340">
        <v>538</v>
      </c>
      <c r="AR70" s="3340">
        <v>528</v>
      </c>
      <c r="AS70" s="3340">
        <v>635</v>
      </c>
      <c r="AT70" s="3340">
        <v>849</v>
      </c>
      <c r="AU70" s="3340">
        <v>1276</v>
      </c>
      <c r="AV70" s="3340">
        <v>521</v>
      </c>
      <c r="AW70" s="3340">
        <v>614</v>
      </c>
      <c r="AX70" s="3340">
        <v>715</v>
      </c>
      <c r="AY70" s="3341">
        <v>639</v>
      </c>
      <c r="AZ70" s="3277">
        <v>595</v>
      </c>
      <c r="BA70" s="3277">
        <v>497</v>
      </c>
      <c r="BB70" s="3277">
        <v>505</v>
      </c>
      <c r="BC70" s="3277">
        <v>417</v>
      </c>
      <c r="BD70" s="3277">
        <v>543</v>
      </c>
      <c r="BE70" s="3277">
        <v>559</v>
      </c>
      <c r="BF70" s="3277">
        <v>777</v>
      </c>
      <c r="BG70" s="3277">
        <v>1289</v>
      </c>
      <c r="BH70" s="3277">
        <v>535</v>
      </c>
      <c r="BI70" s="3277">
        <v>653</v>
      </c>
      <c r="BJ70" s="3277">
        <v>682</v>
      </c>
      <c r="BK70" s="3374">
        <v>664</v>
      </c>
      <c r="BL70" s="3344">
        <v>551</v>
      </c>
      <c r="BM70" s="3345">
        <v>522</v>
      </c>
      <c r="BN70" s="3345">
        <v>534</v>
      </c>
      <c r="BO70" s="3345">
        <v>525</v>
      </c>
      <c r="BP70" s="3345">
        <v>544</v>
      </c>
      <c r="BQ70" s="3345">
        <v>656</v>
      </c>
      <c r="BR70" s="3345">
        <v>836</v>
      </c>
      <c r="BS70" s="3345">
        <v>1119</v>
      </c>
      <c r="BT70" s="3346">
        <v>550</v>
      </c>
      <c r="BU70" s="3346">
        <v>658</v>
      </c>
      <c r="BV70" s="3346">
        <v>688</v>
      </c>
      <c r="BW70" s="3347">
        <v>574</v>
      </c>
      <c r="BX70" s="3348">
        <v>600</v>
      </c>
      <c r="BY70" s="3273">
        <v>512</v>
      </c>
      <c r="BZ70" s="3273">
        <v>542</v>
      </c>
      <c r="CA70" s="3273">
        <v>511</v>
      </c>
      <c r="CB70" s="3273">
        <v>483</v>
      </c>
      <c r="CC70" s="3273">
        <v>646</v>
      </c>
      <c r="CD70" s="3273">
        <v>665</v>
      </c>
      <c r="CE70" s="3273">
        <v>935</v>
      </c>
      <c r="CF70" s="3273">
        <v>579</v>
      </c>
      <c r="CG70" s="3273">
        <v>611</v>
      </c>
      <c r="CH70" s="3273">
        <v>678</v>
      </c>
      <c r="CI70" s="3275">
        <v>758</v>
      </c>
      <c r="CJ70" s="3349">
        <v>698</v>
      </c>
      <c r="CK70" s="3350">
        <v>643</v>
      </c>
      <c r="CL70" s="3350">
        <v>609</v>
      </c>
      <c r="CM70" s="3350">
        <v>572</v>
      </c>
      <c r="CN70" s="3350">
        <v>490</v>
      </c>
      <c r="CO70" s="3350">
        <v>643</v>
      </c>
      <c r="CP70" s="3350">
        <v>814</v>
      </c>
      <c r="CQ70" s="3350">
        <v>1057</v>
      </c>
      <c r="CR70" s="3350">
        <v>554</v>
      </c>
      <c r="CS70" s="3350">
        <v>636</v>
      </c>
      <c r="CT70" s="3350">
        <v>734</v>
      </c>
      <c r="CU70" s="3351">
        <v>716</v>
      </c>
      <c r="CV70" s="3349">
        <v>704</v>
      </c>
      <c r="CW70" s="3350">
        <v>575</v>
      </c>
      <c r="CX70" s="3272">
        <v>571</v>
      </c>
      <c r="CY70" s="3272">
        <v>525</v>
      </c>
      <c r="CZ70" s="3272">
        <v>537</v>
      </c>
      <c r="DA70" s="3272">
        <v>740</v>
      </c>
      <c r="DB70" s="3272">
        <v>857</v>
      </c>
      <c r="DC70" s="3272">
        <v>1052</v>
      </c>
      <c r="DD70" s="3272">
        <v>643</v>
      </c>
      <c r="DE70" s="3272">
        <v>549</v>
      </c>
      <c r="DF70" s="3272">
        <v>656</v>
      </c>
      <c r="DG70" s="3351">
        <v>699</v>
      </c>
      <c r="DH70" s="3352">
        <v>630</v>
      </c>
      <c r="DI70" s="3353">
        <v>567</v>
      </c>
      <c r="DJ70" s="3353">
        <v>515</v>
      </c>
      <c r="DK70" s="3354">
        <v>517</v>
      </c>
      <c r="DL70" s="3354">
        <v>530</v>
      </c>
      <c r="DM70" s="3354">
        <v>594</v>
      </c>
      <c r="DN70" s="3354">
        <v>797</v>
      </c>
      <c r="DO70" s="3354">
        <v>968</v>
      </c>
      <c r="DP70" s="2556">
        <v>506</v>
      </c>
      <c r="DQ70" s="3354">
        <v>663</v>
      </c>
      <c r="DR70" s="3354">
        <v>605</v>
      </c>
      <c r="DS70" s="3355">
        <v>640</v>
      </c>
      <c r="DT70" s="3356">
        <v>661</v>
      </c>
      <c r="DU70" s="3243">
        <v>472</v>
      </c>
      <c r="DV70" s="3243">
        <v>508</v>
      </c>
      <c r="DW70" s="3164">
        <v>543</v>
      </c>
      <c r="DX70" s="3164">
        <v>594</v>
      </c>
      <c r="DY70" s="3164">
        <v>673</v>
      </c>
      <c r="DZ70" s="3164">
        <v>769</v>
      </c>
      <c r="EA70" s="3164">
        <v>922</v>
      </c>
      <c r="EB70" s="3164">
        <v>542</v>
      </c>
      <c r="EC70" s="3164">
        <v>601</v>
      </c>
      <c r="ED70" s="3164">
        <v>691</v>
      </c>
      <c r="EE70" s="3163">
        <v>768</v>
      </c>
      <c r="EF70" s="2532">
        <v>637</v>
      </c>
      <c r="EG70" s="2531">
        <v>567</v>
      </c>
      <c r="EH70" s="2531">
        <v>562</v>
      </c>
      <c r="EI70" s="2531">
        <v>572</v>
      </c>
      <c r="EJ70" s="2531">
        <v>529</v>
      </c>
      <c r="EK70" s="2531">
        <v>741</v>
      </c>
      <c r="EL70" s="2531">
        <v>937</v>
      </c>
      <c r="EM70" s="2557">
        <v>1050</v>
      </c>
      <c r="EN70" s="2557">
        <v>478</v>
      </c>
      <c r="EO70" s="2558">
        <v>576</v>
      </c>
      <c r="EP70" s="2558">
        <v>721</v>
      </c>
      <c r="EQ70" s="2559">
        <v>705</v>
      </c>
      <c r="ER70" s="1323">
        <v>645</v>
      </c>
      <c r="ES70" s="3357">
        <v>546</v>
      </c>
      <c r="ET70" s="3357">
        <v>565</v>
      </c>
      <c r="EU70" s="2560">
        <v>674</v>
      </c>
      <c r="EV70" s="2107">
        <v>751</v>
      </c>
      <c r="EW70" s="2107">
        <v>951</v>
      </c>
      <c r="EX70" s="2107">
        <v>1213</v>
      </c>
      <c r="EY70" s="2107">
        <v>1585</v>
      </c>
      <c r="EZ70" s="2107">
        <v>988</v>
      </c>
      <c r="FA70" s="2275">
        <v>728</v>
      </c>
      <c r="FB70" s="2275">
        <v>1072</v>
      </c>
      <c r="FC70" s="2275">
        <v>1209</v>
      </c>
      <c r="FD70" s="2608">
        <v>1044</v>
      </c>
      <c r="FE70" s="2609">
        <v>854</v>
      </c>
      <c r="FF70" s="2609">
        <v>254</v>
      </c>
      <c r="FG70" s="2609">
        <v>4</v>
      </c>
      <c r="FH70" s="2609">
        <v>15</v>
      </c>
      <c r="FI70" s="2609">
        <v>14</v>
      </c>
      <c r="FJ70" s="2609">
        <v>82</v>
      </c>
      <c r="FK70" s="2609">
        <v>59</v>
      </c>
      <c r="FL70" s="2609">
        <v>126</v>
      </c>
      <c r="FM70" s="2609">
        <v>186</v>
      </c>
      <c r="FN70" s="2609">
        <v>183</v>
      </c>
      <c r="FO70" s="2610">
        <v>227</v>
      </c>
      <c r="FP70" s="2608">
        <v>251</v>
      </c>
      <c r="FQ70" s="2609">
        <v>155</v>
      </c>
      <c r="FR70" s="2609">
        <v>187</v>
      </c>
      <c r="FS70" s="2609">
        <v>208</v>
      </c>
      <c r="FT70" s="2609">
        <v>226</v>
      </c>
      <c r="FU70" s="2609"/>
      <c r="FV70" s="2609"/>
      <c r="FW70" s="2609"/>
      <c r="FX70" s="2609"/>
      <c r="FY70" s="2609"/>
      <c r="FZ70" s="2609"/>
      <c r="GA70" s="2614"/>
      <c r="GB70" s="2607"/>
      <c r="GC70" s="2754">
        <v>1326</v>
      </c>
      <c r="GD70" s="2755">
        <v>1275</v>
      </c>
      <c r="GE70" s="2755">
        <v>2511</v>
      </c>
      <c r="GF70" s="2756">
        <v>1735</v>
      </c>
      <c r="GG70" s="2757">
        <v>1901</v>
      </c>
      <c r="GH70" s="2758">
        <v>1616</v>
      </c>
      <c r="GI70" s="2758">
        <v>2915</v>
      </c>
      <c r="GJ70" s="2759">
        <v>1926</v>
      </c>
      <c r="GK70" s="2760">
        <v>1797</v>
      </c>
      <c r="GL70" s="2761">
        <v>1824</v>
      </c>
      <c r="GM70" s="2762">
        <v>3020</v>
      </c>
      <c r="GN70" s="2762">
        <v>1955</v>
      </c>
      <c r="GO70" s="2763">
        <v>1732</v>
      </c>
      <c r="GP70" s="2764">
        <v>1701</v>
      </c>
      <c r="GQ70" s="2764">
        <v>2646</v>
      </c>
      <c r="GR70" s="2765">
        <v>1968</v>
      </c>
      <c r="GS70" s="2766">
        <v>1597</v>
      </c>
      <c r="GT70" s="2767">
        <v>1519</v>
      </c>
      <c r="GU70" s="2767">
        <v>2601</v>
      </c>
      <c r="GV70" s="2768">
        <v>1999</v>
      </c>
      <c r="GW70" s="2764">
        <v>1607</v>
      </c>
      <c r="GX70" s="2764">
        <v>1725</v>
      </c>
      <c r="GY70" s="2764">
        <v>2505</v>
      </c>
      <c r="GZ70" s="2764">
        <v>1920</v>
      </c>
      <c r="HA70" s="2769">
        <v>1654</v>
      </c>
      <c r="HB70" s="2769">
        <v>1640</v>
      </c>
      <c r="HC70" s="2769">
        <v>2179</v>
      </c>
      <c r="HD70" s="2769">
        <v>2047</v>
      </c>
      <c r="HE70" s="2770">
        <v>1950</v>
      </c>
      <c r="HF70" s="2770">
        <v>1705</v>
      </c>
      <c r="HG70" s="2770">
        <f t="shared" si="17"/>
        <v>2425</v>
      </c>
      <c r="HH70" s="2770">
        <v>2086</v>
      </c>
      <c r="HI70" s="2771">
        <v>1850</v>
      </c>
      <c r="HJ70" s="2771">
        <f t="shared" si="18"/>
        <v>1802</v>
      </c>
      <c r="HK70" s="2771">
        <f t="shared" si="19"/>
        <v>2552</v>
      </c>
      <c r="HL70" s="2770">
        <f t="shared" si="20"/>
        <v>1904</v>
      </c>
      <c r="HM70" s="2689">
        <f t="shared" si="21"/>
        <v>1712</v>
      </c>
      <c r="HN70" s="2689">
        <f t="shared" si="22"/>
        <v>1641</v>
      </c>
      <c r="HO70" s="2689">
        <f t="shared" si="23"/>
        <v>2405</v>
      </c>
      <c r="HP70" s="2689">
        <f t="shared" si="24"/>
        <v>1908</v>
      </c>
      <c r="HQ70" s="2764">
        <f t="shared" si="25"/>
        <v>1641</v>
      </c>
      <c r="HR70" s="2764">
        <f t="shared" si="26"/>
        <v>1810</v>
      </c>
      <c r="HS70" s="2764">
        <f t="shared" si="27"/>
        <v>2233</v>
      </c>
      <c r="HT70" s="2764">
        <f t="shared" si="28"/>
        <v>2060</v>
      </c>
      <c r="HU70" s="2772">
        <f t="shared" si="29"/>
        <v>1766</v>
      </c>
      <c r="HV70" s="2769">
        <f t="shared" si="30"/>
        <v>1842</v>
      </c>
      <c r="HW70" s="2769">
        <f t="shared" si="31"/>
        <v>2465</v>
      </c>
      <c r="HX70" s="2769">
        <f t="shared" si="32"/>
        <v>2002</v>
      </c>
      <c r="HY70" s="2773">
        <f t="shared" si="33"/>
        <v>1756</v>
      </c>
      <c r="HZ70" s="2774">
        <f t="shared" si="34"/>
        <v>2376</v>
      </c>
      <c r="IA70" s="2774">
        <f t="shared" si="35"/>
        <v>3786</v>
      </c>
      <c r="IB70" s="2774">
        <f t="shared" si="36"/>
        <v>3009</v>
      </c>
      <c r="IC70" s="2775">
        <f t="shared" si="65"/>
        <v>2152</v>
      </c>
      <c r="ID70" s="2776">
        <f t="shared" si="66"/>
        <v>33</v>
      </c>
      <c r="IE70" s="2776">
        <f t="shared" si="67"/>
        <v>267</v>
      </c>
      <c r="IF70" s="2777">
        <f t="shared" si="68"/>
        <v>596</v>
      </c>
      <c r="IG70" s="2772">
        <f t="shared" si="51"/>
        <v>593</v>
      </c>
      <c r="IH70" s="2769">
        <f t="shared" si="52"/>
        <v>434</v>
      </c>
      <c r="II70" s="2769">
        <f t="shared" si="53"/>
        <v>0</v>
      </c>
      <c r="IJ70" s="2769">
        <f t="shared" si="54"/>
        <v>0</v>
      </c>
      <c r="IK70" s="2578"/>
      <c r="IL70" s="3358">
        <v>6847</v>
      </c>
      <c r="IM70" s="3359">
        <v>8358</v>
      </c>
      <c r="IN70" s="3359">
        <v>8596</v>
      </c>
      <c r="IO70" s="3359">
        <v>8047</v>
      </c>
      <c r="IP70" s="3359">
        <v>7716</v>
      </c>
      <c r="IQ70" s="3359">
        <v>7757</v>
      </c>
      <c r="IR70" s="3360">
        <v>7520</v>
      </c>
      <c r="IS70" s="3361">
        <v>8166</v>
      </c>
      <c r="IT70" s="3361">
        <f t="shared" si="37"/>
        <v>8108</v>
      </c>
      <c r="IU70" s="3361">
        <f t="shared" si="38"/>
        <v>7532</v>
      </c>
      <c r="IV70" s="3361">
        <f t="shared" si="39"/>
        <v>7744</v>
      </c>
      <c r="IW70" s="3361">
        <f t="shared" si="40"/>
        <v>8075</v>
      </c>
      <c r="IX70" s="3362">
        <f t="shared" si="55"/>
        <v>10927</v>
      </c>
      <c r="IY70" s="3380">
        <f t="shared" si="69"/>
        <v>3048</v>
      </c>
      <c r="IZ70" s="3378">
        <f t="shared" si="57"/>
        <v>1556</v>
      </c>
      <c r="JA70" s="3579">
        <f t="shared" si="58"/>
        <v>1027</v>
      </c>
      <c r="JC70" s="3365">
        <f t="shared" si="59"/>
        <v>2302</v>
      </c>
      <c r="JD70" s="3366">
        <f t="shared" si="42"/>
        <v>1.2000777533116857E-2</v>
      </c>
      <c r="JE70" s="3366">
        <f t="shared" si="43"/>
        <v>1.1860365030914446E-2</v>
      </c>
      <c r="JF70" s="3366">
        <f t="shared" si="60"/>
        <v>1.1798828153538186E-2</v>
      </c>
      <c r="JG70" s="3366">
        <f t="shared" si="56"/>
        <v>1.5966042753400838E-2</v>
      </c>
      <c r="JH70" s="3366">
        <f t="shared" si="61"/>
        <v>1.6006974167222465E-2</v>
      </c>
      <c r="JI70" s="3379">
        <f t="shared" si="62"/>
        <v>5.5374453728878701E-3</v>
      </c>
      <c r="JJ70" s="3366"/>
      <c r="JK70" s="3368">
        <f t="shared" si="44"/>
        <v>2.814657461497605E-2</v>
      </c>
      <c r="JL70" s="3369">
        <f t="shared" si="45"/>
        <v>-0.69437068507700483</v>
      </c>
      <c r="JM70" s="3369">
        <f t="shared" si="46"/>
        <v>4.2742768595041225E-2</v>
      </c>
      <c r="JN70" s="3369">
        <f t="shared" si="46"/>
        <v>0.35318885448916415</v>
      </c>
      <c r="JO70" s="3369">
        <f t="shared" si="46"/>
        <v>-0.72105792989841677</v>
      </c>
      <c r="JP70" s="3370">
        <f t="shared" si="63"/>
        <v>-0.85760043927885055</v>
      </c>
      <c r="JQ70" s="3371">
        <f t="shared" si="64"/>
        <v>-0.48950131233595795</v>
      </c>
      <c r="JS70" s="3045"/>
      <c r="JT70" s="3045"/>
      <c r="JU70" s="3045"/>
      <c r="JV70" s="3045"/>
      <c r="JW70" s="3045"/>
      <c r="JX70" s="3045"/>
      <c r="JY70" s="3045"/>
      <c r="JZ70" s="3045"/>
      <c r="KA70" s="3045"/>
      <c r="KB70" s="3045"/>
      <c r="KC70" s="3045"/>
      <c r="KD70" s="3045"/>
      <c r="KE70" s="3045"/>
      <c r="KF70" s="3045"/>
      <c r="KG70" s="3045"/>
      <c r="KH70" s="3045"/>
      <c r="KI70" s="3045"/>
      <c r="KJ70" s="3045"/>
      <c r="KK70" s="3045"/>
      <c r="KL70" s="3045"/>
      <c r="KM70" s="3045"/>
      <c r="KN70" s="3045"/>
      <c r="KO70" s="3045"/>
    </row>
    <row r="71" spans="1:301" ht="21.9" customHeight="1">
      <c r="A71" s="3382"/>
      <c r="B71" s="3045"/>
      <c r="C71" s="3381" t="s">
        <v>23</v>
      </c>
      <c r="D71" s="3330">
        <v>364</v>
      </c>
      <c r="E71" s="3331">
        <v>398</v>
      </c>
      <c r="F71" s="3331">
        <v>362</v>
      </c>
      <c r="G71" s="3331">
        <v>333</v>
      </c>
      <c r="H71" s="3331">
        <v>305</v>
      </c>
      <c r="I71" s="3331">
        <v>347</v>
      </c>
      <c r="J71" s="3331">
        <v>748</v>
      </c>
      <c r="K71" s="3331">
        <v>334</v>
      </c>
      <c r="L71" s="3331">
        <v>478</v>
      </c>
      <c r="M71" s="3331">
        <v>546</v>
      </c>
      <c r="N71" s="3331">
        <v>492</v>
      </c>
      <c r="O71" s="3332">
        <v>429</v>
      </c>
      <c r="P71" s="3333">
        <v>442</v>
      </c>
      <c r="Q71" s="3334">
        <v>593</v>
      </c>
      <c r="R71" s="3334">
        <v>475</v>
      </c>
      <c r="S71" s="3334">
        <v>378</v>
      </c>
      <c r="T71" s="3334">
        <v>364</v>
      </c>
      <c r="U71" s="3334">
        <v>401</v>
      </c>
      <c r="V71" s="3334">
        <v>795</v>
      </c>
      <c r="W71" s="3334">
        <v>418</v>
      </c>
      <c r="X71" s="3334">
        <v>410</v>
      </c>
      <c r="Y71" s="3334">
        <v>462</v>
      </c>
      <c r="Z71" s="3334">
        <v>547</v>
      </c>
      <c r="AA71" s="3335">
        <v>450</v>
      </c>
      <c r="AB71" s="3336">
        <v>472</v>
      </c>
      <c r="AC71" s="3337">
        <v>324</v>
      </c>
      <c r="AD71" s="3337">
        <v>379</v>
      </c>
      <c r="AE71" s="3337">
        <v>343</v>
      </c>
      <c r="AF71" s="3337">
        <v>385.5</v>
      </c>
      <c r="AG71" s="3337">
        <v>428</v>
      </c>
      <c r="AH71" s="3337">
        <v>875</v>
      </c>
      <c r="AI71" s="3337">
        <v>391</v>
      </c>
      <c r="AJ71" s="3337">
        <v>458</v>
      </c>
      <c r="AK71" s="3337">
        <v>460</v>
      </c>
      <c r="AL71" s="3337">
        <v>532</v>
      </c>
      <c r="AM71" s="3338">
        <v>487</v>
      </c>
      <c r="AN71" s="3339">
        <v>443</v>
      </c>
      <c r="AO71" s="3340">
        <v>376</v>
      </c>
      <c r="AP71" s="3340">
        <v>358</v>
      </c>
      <c r="AQ71" s="3340">
        <v>310</v>
      </c>
      <c r="AR71" s="3340">
        <v>315</v>
      </c>
      <c r="AS71" s="3340">
        <v>379</v>
      </c>
      <c r="AT71" s="3340">
        <v>783</v>
      </c>
      <c r="AU71" s="3340">
        <v>396</v>
      </c>
      <c r="AV71" s="3340">
        <v>362</v>
      </c>
      <c r="AW71" s="3340">
        <v>563</v>
      </c>
      <c r="AX71" s="3340">
        <v>559</v>
      </c>
      <c r="AY71" s="3341">
        <v>469</v>
      </c>
      <c r="AZ71" s="3277">
        <v>429</v>
      </c>
      <c r="BA71" s="3277">
        <v>404</v>
      </c>
      <c r="BB71" s="3277">
        <v>315</v>
      </c>
      <c r="BC71" s="3277">
        <v>400</v>
      </c>
      <c r="BD71" s="3277">
        <v>329</v>
      </c>
      <c r="BE71" s="3277">
        <v>370</v>
      </c>
      <c r="BF71" s="3277">
        <v>834</v>
      </c>
      <c r="BG71" s="3277">
        <v>402</v>
      </c>
      <c r="BH71" s="3277">
        <v>363</v>
      </c>
      <c r="BI71" s="3277">
        <v>578</v>
      </c>
      <c r="BJ71" s="3277">
        <v>603</v>
      </c>
      <c r="BK71" s="3374">
        <v>577</v>
      </c>
      <c r="BL71" s="3344">
        <v>442</v>
      </c>
      <c r="BM71" s="3345">
        <v>386</v>
      </c>
      <c r="BN71" s="3345">
        <v>342</v>
      </c>
      <c r="BO71" s="3345">
        <v>413</v>
      </c>
      <c r="BP71" s="3345">
        <v>323</v>
      </c>
      <c r="BQ71" s="3345">
        <v>446</v>
      </c>
      <c r="BR71" s="3345">
        <v>986</v>
      </c>
      <c r="BS71" s="3345">
        <v>441</v>
      </c>
      <c r="BT71" s="3346">
        <v>500</v>
      </c>
      <c r="BU71" s="3346">
        <v>622</v>
      </c>
      <c r="BV71" s="3346">
        <v>645</v>
      </c>
      <c r="BW71" s="3347">
        <v>674</v>
      </c>
      <c r="BX71" s="3348">
        <v>449</v>
      </c>
      <c r="BY71" s="3273">
        <v>392</v>
      </c>
      <c r="BZ71" s="3273">
        <v>495</v>
      </c>
      <c r="CA71" s="3273">
        <v>430</v>
      </c>
      <c r="CB71" s="3273">
        <v>411</v>
      </c>
      <c r="CC71" s="3273">
        <v>419</v>
      </c>
      <c r="CD71" s="3273">
        <v>996</v>
      </c>
      <c r="CE71" s="3273">
        <v>438</v>
      </c>
      <c r="CF71" s="3273">
        <v>418</v>
      </c>
      <c r="CG71" s="3273">
        <v>574</v>
      </c>
      <c r="CH71" s="3273">
        <v>598</v>
      </c>
      <c r="CI71" s="3275">
        <v>671</v>
      </c>
      <c r="CJ71" s="3349">
        <v>474</v>
      </c>
      <c r="CK71" s="3350">
        <v>485</v>
      </c>
      <c r="CL71" s="3350">
        <v>443</v>
      </c>
      <c r="CM71" s="3350">
        <v>516</v>
      </c>
      <c r="CN71" s="3350">
        <v>447</v>
      </c>
      <c r="CO71" s="3350">
        <v>401</v>
      </c>
      <c r="CP71" s="3350">
        <v>1000</v>
      </c>
      <c r="CQ71" s="3350">
        <v>403</v>
      </c>
      <c r="CR71" s="3350">
        <v>432</v>
      </c>
      <c r="CS71" s="3350">
        <v>612</v>
      </c>
      <c r="CT71" s="3350">
        <v>615</v>
      </c>
      <c r="CU71" s="3351">
        <v>638</v>
      </c>
      <c r="CV71" s="3349">
        <v>514</v>
      </c>
      <c r="CW71" s="3350">
        <v>443</v>
      </c>
      <c r="CX71" s="3272">
        <v>472</v>
      </c>
      <c r="CY71" s="3272">
        <v>513</v>
      </c>
      <c r="CZ71" s="3272">
        <v>444</v>
      </c>
      <c r="DA71" s="3272">
        <v>445</v>
      </c>
      <c r="DB71" s="3272">
        <v>1074</v>
      </c>
      <c r="DC71" s="3272">
        <v>403</v>
      </c>
      <c r="DD71" s="3272">
        <v>441</v>
      </c>
      <c r="DE71" s="3272">
        <v>599</v>
      </c>
      <c r="DF71" s="3272">
        <v>582</v>
      </c>
      <c r="DG71" s="3351">
        <v>596</v>
      </c>
      <c r="DH71" s="3352">
        <v>566</v>
      </c>
      <c r="DI71" s="3353">
        <v>575</v>
      </c>
      <c r="DJ71" s="3353">
        <v>533</v>
      </c>
      <c r="DK71" s="3354">
        <v>489</v>
      </c>
      <c r="DL71" s="3354">
        <v>387</v>
      </c>
      <c r="DM71" s="3354">
        <v>383</v>
      </c>
      <c r="DN71" s="3354">
        <v>1133</v>
      </c>
      <c r="DO71" s="3354">
        <v>480</v>
      </c>
      <c r="DP71" s="2556">
        <v>403</v>
      </c>
      <c r="DQ71" s="3354">
        <v>692</v>
      </c>
      <c r="DR71" s="3354">
        <v>501</v>
      </c>
      <c r="DS71" s="3355">
        <v>545</v>
      </c>
      <c r="DT71" s="3356">
        <v>510</v>
      </c>
      <c r="DU71" s="3243">
        <v>457</v>
      </c>
      <c r="DV71" s="3243">
        <v>436</v>
      </c>
      <c r="DW71" s="3164">
        <v>611</v>
      </c>
      <c r="DX71" s="3164">
        <v>335</v>
      </c>
      <c r="DY71" s="3164">
        <v>452</v>
      </c>
      <c r="DZ71" s="3164">
        <v>981</v>
      </c>
      <c r="EA71" s="3164">
        <v>427</v>
      </c>
      <c r="EB71" s="3164">
        <v>447</v>
      </c>
      <c r="EC71" s="3164">
        <v>575</v>
      </c>
      <c r="ED71" s="3164">
        <v>478</v>
      </c>
      <c r="EE71" s="3163">
        <v>579</v>
      </c>
      <c r="EF71" s="2532">
        <v>507</v>
      </c>
      <c r="EG71" s="2531">
        <v>534</v>
      </c>
      <c r="EH71" s="2531">
        <v>515</v>
      </c>
      <c r="EI71" s="2531">
        <v>487</v>
      </c>
      <c r="EJ71" s="2531">
        <v>373</v>
      </c>
      <c r="EK71" s="2531">
        <v>437</v>
      </c>
      <c r="EL71" s="2531">
        <v>1093</v>
      </c>
      <c r="EM71" s="2557">
        <v>415</v>
      </c>
      <c r="EN71" s="2557">
        <v>526</v>
      </c>
      <c r="EO71" s="2558">
        <v>655</v>
      </c>
      <c r="EP71" s="2558">
        <v>579</v>
      </c>
      <c r="EQ71" s="2559">
        <v>714</v>
      </c>
      <c r="ER71" s="1323">
        <v>500</v>
      </c>
      <c r="ES71" s="3357">
        <v>462</v>
      </c>
      <c r="ET71" s="3357">
        <v>398</v>
      </c>
      <c r="EU71" s="2560">
        <v>546</v>
      </c>
      <c r="EV71" s="2107">
        <v>441</v>
      </c>
      <c r="EW71" s="2107">
        <v>503</v>
      </c>
      <c r="EX71" s="2107">
        <v>1198</v>
      </c>
      <c r="EY71" s="2107">
        <v>550</v>
      </c>
      <c r="EZ71" s="2107">
        <v>532</v>
      </c>
      <c r="FA71" s="2275">
        <v>538</v>
      </c>
      <c r="FB71" s="2275">
        <v>589</v>
      </c>
      <c r="FC71" s="2275">
        <v>776</v>
      </c>
      <c r="FD71" s="2608">
        <v>571</v>
      </c>
      <c r="FE71" s="2609">
        <v>552</v>
      </c>
      <c r="FF71" s="2609">
        <v>193</v>
      </c>
      <c r="FG71" s="2609">
        <v>35</v>
      </c>
      <c r="FH71" s="2609">
        <v>2</v>
      </c>
      <c r="FI71" s="2609">
        <v>3</v>
      </c>
      <c r="FJ71" s="2609">
        <v>30</v>
      </c>
      <c r="FK71" s="2609">
        <v>34</v>
      </c>
      <c r="FL71" s="2609">
        <v>34</v>
      </c>
      <c r="FM71" s="2609">
        <v>67</v>
      </c>
      <c r="FN71" s="2609">
        <v>84</v>
      </c>
      <c r="FO71" s="2610">
        <v>202</v>
      </c>
      <c r="FP71" s="2608">
        <v>103</v>
      </c>
      <c r="FQ71" s="2609">
        <v>118</v>
      </c>
      <c r="FR71" s="2609">
        <v>135</v>
      </c>
      <c r="FS71" s="2609">
        <v>186</v>
      </c>
      <c r="FT71" s="2609">
        <v>125</v>
      </c>
      <c r="FU71" s="2609"/>
      <c r="FV71" s="2609"/>
      <c r="FW71" s="2609"/>
      <c r="FX71" s="2609"/>
      <c r="FY71" s="2609"/>
      <c r="FZ71" s="2609"/>
      <c r="GA71" s="2614"/>
      <c r="GB71" s="2607"/>
      <c r="GC71" s="2754">
        <v>1124</v>
      </c>
      <c r="GD71" s="2755">
        <v>985</v>
      </c>
      <c r="GE71" s="2755">
        <v>1560</v>
      </c>
      <c r="GF71" s="2756">
        <v>1467</v>
      </c>
      <c r="GG71" s="2757">
        <v>1510</v>
      </c>
      <c r="GH71" s="2758">
        <v>1143</v>
      </c>
      <c r="GI71" s="2758">
        <v>1623</v>
      </c>
      <c r="GJ71" s="2759">
        <v>1459</v>
      </c>
      <c r="GK71" s="2760">
        <v>1175</v>
      </c>
      <c r="GL71" s="2761">
        <v>1156.5</v>
      </c>
      <c r="GM71" s="2762">
        <v>1724</v>
      </c>
      <c r="GN71" s="2762">
        <v>1479</v>
      </c>
      <c r="GO71" s="2763">
        <v>1177</v>
      </c>
      <c r="GP71" s="2764">
        <v>1004</v>
      </c>
      <c r="GQ71" s="2764">
        <v>1541</v>
      </c>
      <c r="GR71" s="2765">
        <v>1591</v>
      </c>
      <c r="GS71" s="2766">
        <v>1148</v>
      </c>
      <c r="GT71" s="2767">
        <v>1099</v>
      </c>
      <c r="GU71" s="2767">
        <v>1599</v>
      </c>
      <c r="GV71" s="2768">
        <v>1758</v>
      </c>
      <c r="GW71" s="2764">
        <v>1170</v>
      </c>
      <c r="GX71" s="2764">
        <v>1182</v>
      </c>
      <c r="GY71" s="2764">
        <v>1927</v>
      </c>
      <c r="GZ71" s="2764">
        <v>1941</v>
      </c>
      <c r="HA71" s="2769">
        <v>1336</v>
      </c>
      <c r="HB71" s="2769">
        <v>1260</v>
      </c>
      <c r="HC71" s="2769">
        <v>1852</v>
      </c>
      <c r="HD71" s="2769">
        <v>1843</v>
      </c>
      <c r="HE71" s="2770">
        <v>1402</v>
      </c>
      <c r="HF71" s="2770">
        <v>1364</v>
      </c>
      <c r="HG71" s="2770">
        <f t="shared" si="17"/>
        <v>1835</v>
      </c>
      <c r="HH71" s="2770">
        <v>1865</v>
      </c>
      <c r="HI71" s="2771">
        <v>1429</v>
      </c>
      <c r="HJ71" s="2771">
        <f t="shared" si="18"/>
        <v>1402</v>
      </c>
      <c r="HK71" s="2771">
        <f t="shared" si="19"/>
        <v>1918</v>
      </c>
      <c r="HL71" s="2770">
        <f t="shared" si="20"/>
        <v>1777</v>
      </c>
      <c r="HM71" s="2689">
        <f t="shared" si="21"/>
        <v>1674</v>
      </c>
      <c r="HN71" s="2689">
        <f t="shared" si="22"/>
        <v>1259</v>
      </c>
      <c r="HO71" s="2689">
        <f t="shared" si="23"/>
        <v>2158</v>
      </c>
      <c r="HP71" s="2689">
        <f t="shared" si="24"/>
        <v>1738</v>
      </c>
      <c r="HQ71" s="2764">
        <f t="shared" si="25"/>
        <v>1403</v>
      </c>
      <c r="HR71" s="2764">
        <f t="shared" si="26"/>
        <v>1398</v>
      </c>
      <c r="HS71" s="2764">
        <f t="shared" si="27"/>
        <v>1855</v>
      </c>
      <c r="HT71" s="2764">
        <f t="shared" si="28"/>
        <v>1632</v>
      </c>
      <c r="HU71" s="2772">
        <f t="shared" si="29"/>
        <v>1556</v>
      </c>
      <c r="HV71" s="2769">
        <f t="shared" si="30"/>
        <v>1297</v>
      </c>
      <c r="HW71" s="2769">
        <f t="shared" si="31"/>
        <v>2034</v>
      </c>
      <c r="HX71" s="2769">
        <f t="shared" si="32"/>
        <v>1948</v>
      </c>
      <c r="HY71" s="2773">
        <f t="shared" si="33"/>
        <v>1360</v>
      </c>
      <c r="HZ71" s="2774">
        <f t="shared" si="34"/>
        <v>1490</v>
      </c>
      <c r="IA71" s="2774">
        <f t="shared" si="35"/>
        <v>2280</v>
      </c>
      <c r="IB71" s="2774">
        <f t="shared" si="36"/>
        <v>1903</v>
      </c>
      <c r="IC71" s="2775">
        <f t="shared" si="65"/>
        <v>1316</v>
      </c>
      <c r="ID71" s="2776">
        <f t="shared" si="66"/>
        <v>40</v>
      </c>
      <c r="IE71" s="2776">
        <f t="shared" si="67"/>
        <v>98</v>
      </c>
      <c r="IF71" s="2777">
        <f t="shared" si="68"/>
        <v>353</v>
      </c>
      <c r="IG71" s="2772">
        <f t="shared" si="51"/>
        <v>356</v>
      </c>
      <c r="IH71" s="2769">
        <f t="shared" si="52"/>
        <v>311</v>
      </c>
      <c r="II71" s="2769">
        <f t="shared" si="53"/>
        <v>0</v>
      </c>
      <c r="IJ71" s="2769">
        <f t="shared" si="54"/>
        <v>0</v>
      </c>
      <c r="IK71" s="2578"/>
      <c r="IL71" s="3358">
        <v>5136</v>
      </c>
      <c r="IM71" s="3359">
        <v>5735</v>
      </c>
      <c r="IN71" s="3359">
        <v>5534.5</v>
      </c>
      <c r="IO71" s="3359">
        <v>5313</v>
      </c>
      <c r="IP71" s="3359">
        <v>5604</v>
      </c>
      <c r="IQ71" s="3359">
        <v>6220</v>
      </c>
      <c r="IR71" s="3360">
        <v>6291</v>
      </c>
      <c r="IS71" s="3361">
        <v>6466</v>
      </c>
      <c r="IT71" s="3361">
        <f t="shared" si="37"/>
        <v>6526</v>
      </c>
      <c r="IU71" s="3361">
        <f t="shared" si="38"/>
        <v>6687</v>
      </c>
      <c r="IV71" s="3361">
        <f t="shared" si="39"/>
        <v>6288</v>
      </c>
      <c r="IW71" s="3361">
        <f t="shared" si="40"/>
        <v>6835</v>
      </c>
      <c r="IX71" s="3362">
        <f t="shared" si="55"/>
        <v>7033</v>
      </c>
      <c r="IY71" s="3380">
        <f t="shared" si="69"/>
        <v>1807</v>
      </c>
      <c r="IZ71" s="3378">
        <f t="shared" si="57"/>
        <v>905</v>
      </c>
      <c r="JA71" s="3579">
        <f t="shared" si="58"/>
        <v>667</v>
      </c>
      <c r="JC71" s="3365">
        <f t="shared" si="59"/>
        <v>1356</v>
      </c>
      <c r="JD71" s="3366">
        <f t="shared" si="42"/>
        <v>1.0654434328724432E-2</v>
      </c>
      <c r="JE71" s="3366">
        <f t="shared" si="43"/>
        <v>9.6304203660111092E-3</v>
      </c>
      <c r="JF71" s="3366">
        <f t="shared" si="60"/>
        <v>9.9869957188152957E-3</v>
      </c>
      <c r="JG71" s="3366">
        <f t="shared" si="56"/>
        <v>1.027630444629524E-2</v>
      </c>
      <c r="JH71" s="3366">
        <f t="shared" si="61"/>
        <v>9.4896989239406145E-3</v>
      </c>
      <c r="JI71" s="3379">
        <f t="shared" si="62"/>
        <v>3.2206864154649887E-3</v>
      </c>
      <c r="JJ71" s="3366"/>
      <c r="JK71" s="3368">
        <f t="shared" si="44"/>
        <v>-5.9668012561686856E-2</v>
      </c>
      <c r="JL71" s="3369">
        <f t="shared" si="45"/>
        <v>-0.79721848362494385</v>
      </c>
      <c r="JM71" s="3369">
        <f t="shared" si="46"/>
        <v>8.6991094147582659E-2</v>
      </c>
      <c r="JN71" s="3369">
        <f t="shared" si="46"/>
        <v>2.8968544257498063E-2</v>
      </c>
      <c r="JO71" s="3369">
        <f t="shared" si="46"/>
        <v>-0.7430683918669132</v>
      </c>
      <c r="JP71" s="3370">
        <f t="shared" si="63"/>
        <v>-0.8713209156832078</v>
      </c>
      <c r="JQ71" s="3371">
        <f t="shared" si="64"/>
        <v>-0.49916989485334806</v>
      </c>
      <c r="JS71" s="3045"/>
      <c r="JT71" s="3045"/>
      <c r="JU71" s="3045"/>
      <c r="JV71" s="3045"/>
      <c r="JW71" s="3045"/>
      <c r="JX71" s="3045"/>
      <c r="JY71" s="3045"/>
      <c r="JZ71" s="3045"/>
      <c r="KA71" s="3045"/>
      <c r="KB71" s="3045"/>
      <c r="KC71" s="3045"/>
      <c r="KD71" s="3045"/>
      <c r="KE71" s="3045"/>
      <c r="KF71" s="3045"/>
      <c r="KG71" s="3045"/>
      <c r="KH71" s="3045"/>
      <c r="KI71" s="3045"/>
      <c r="KJ71" s="3045"/>
      <c r="KK71" s="3045"/>
      <c r="KL71" s="3045"/>
      <c r="KM71" s="3045"/>
      <c r="KN71" s="3045"/>
      <c r="KO71" s="3045"/>
    </row>
    <row r="72" spans="1:301" ht="21.9" customHeight="1">
      <c r="A72" s="3382"/>
      <c r="B72" s="3045"/>
      <c r="C72" s="3381" t="s">
        <v>31</v>
      </c>
      <c r="D72" s="3330">
        <v>286</v>
      </c>
      <c r="E72" s="3331">
        <v>223</v>
      </c>
      <c r="F72" s="3331">
        <v>234</v>
      </c>
      <c r="G72" s="3331">
        <v>325</v>
      </c>
      <c r="H72" s="3331">
        <v>318</v>
      </c>
      <c r="I72" s="3331">
        <v>277</v>
      </c>
      <c r="J72" s="3331">
        <v>322</v>
      </c>
      <c r="K72" s="3331">
        <v>300</v>
      </c>
      <c r="L72" s="3331">
        <v>421</v>
      </c>
      <c r="M72" s="3331">
        <v>451</v>
      </c>
      <c r="N72" s="3331">
        <v>458</v>
      </c>
      <c r="O72" s="3332">
        <v>428</v>
      </c>
      <c r="P72" s="3333">
        <v>405</v>
      </c>
      <c r="Q72" s="3334">
        <v>516</v>
      </c>
      <c r="R72" s="3334">
        <v>459</v>
      </c>
      <c r="S72" s="3334">
        <v>570</v>
      </c>
      <c r="T72" s="3334">
        <v>475</v>
      </c>
      <c r="U72" s="3334">
        <v>319</v>
      </c>
      <c r="V72" s="3334">
        <v>354</v>
      </c>
      <c r="W72" s="3334">
        <v>498</v>
      </c>
      <c r="X72" s="3334">
        <v>495</v>
      </c>
      <c r="Y72" s="3334">
        <v>611</v>
      </c>
      <c r="Z72" s="3334">
        <v>484</v>
      </c>
      <c r="AA72" s="3335">
        <v>517</v>
      </c>
      <c r="AB72" s="3336">
        <v>373</v>
      </c>
      <c r="AC72" s="3337">
        <v>273</v>
      </c>
      <c r="AD72" s="3337">
        <v>366</v>
      </c>
      <c r="AE72" s="3337">
        <v>426</v>
      </c>
      <c r="AF72" s="3337">
        <v>404</v>
      </c>
      <c r="AG72" s="3337">
        <v>382</v>
      </c>
      <c r="AH72" s="3337">
        <v>369</v>
      </c>
      <c r="AI72" s="3337">
        <v>469</v>
      </c>
      <c r="AJ72" s="3337">
        <v>494</v>
      </c>
      <c r="AK72" s="3337">
        <v>512</v>
      </c>
      <c r="AL72" s="3337">
        <v>510</v>
      </c>
      <c r="AM72" s="3338">
        <v>568</v>
      </c>
      <c r="AN72" s="3339">
        <v>469</v>
      </c>
      <c r="AO72" s="3340">
        <v>260</v>
      </c>
      <c r="AP72" s="3340">
        <v>424</v>
      </c>
      <c r="AQ72" s="3340">
        <v>545</v>
      </c>
      <c r="AR72" s="3340">
        <v>529</v>
      </c>
      <c r="AS72" s="3340">
        <v>447</v>
      </c>
      <c r="AT72" s="3340">
        <v>422</v>
      </c>
      <c r="AU72" s="3340">
        <v>436</v>
      </c>
      <c r="AV72" s="3340">
        <v>464</v>
      </c>
      <c r="AW72" s="3340">
        <v>558</v>
      </c>
      <c r="AX72" s="3340">
        <v>513</v>
      </c>
      <c r="AY72" s="3341">
        <v>529</v>
      </c>
      <c r="AZ72" s="3277">
        <v>503</v>
      </c>
      <c r="BA72" s="3277">
        <v>295</v>
      </c>
      <c r="BB72" s="3277">
        <v>499</v>
      </c>
      <c r="BC72" s="3277">
        <v>579</v>
      </c>
      <c r="BD72" s="3277">
        <v>572</v>
      </c>
      <c r="BE72" s="3277">
        <v>431</v>
      </c>
      <c r="BF72" s="3277">
        <v>461</v>
      </c>
      <c r="BG72" s="3277">
        <v>457</v>
      </c>
      <c r="BH72" s="3277">
        <v>507</v>
      </c>
      <c r="BI72" s="3277">
        <v>654</v>
      </c>
      <c r="BJ72" s="3277">
        <v>660</v>
      </c>
      <c r="BK72" s="3374">
        <v>629</v>
      </c>
      <c r="BL72" s="3344">
        <v>536</v>
      </c>
      <c r="BM72" s="3345">
        <v>420</v>
      </c>
      <c r="BN72" s="3345">
        <v>480</v>
      </c>
      <c r="BO72" s="3345">
        <v>593</v>
      </c>
      <c r="BP72" s="3345">
        <v>610</v>
      </c>
      <c r="BQ72" s="3345">
        <v>556</v>
      </c>
      <c r="BR72" s="3345">
        <v>521</v>
      </c>
      <c r="BS72" s="3345">
        <v>484</v>
      </c>
      <c r="BT72" s="3346">
        <v>574</v>
      </c>
      <c r="BU72" s="3346">
        <v>718</v>
      </c>
      <c r="BV72" s="3346">
        <v>763</v>
      </c>
      <c r="BW72" s="3347">
        <v>706</v>
      </c>
      <c r="BX72" s="3348">
        <v>565</v>
      </c>
      <c r="BY72" s="3273">
        <v>412</v>
      </c>
      <c r="BZ72" s="3273">
        <v>599</v>
      </c>
      <c r="CA72" s="3273">
        <v>660</v>
      </c>
      <c r="CB72" s="3273">
        <v>613</v>
      </c>
      <c r="CC72" s="3273">
        <v>626</v>
      </c>
      <c r="CD72" s="3273">
        <v>532</v>
      </c>
      <c r="CE72" s="3273">
        <v>589</v>
      </c>
      <c r="CF72" s="3273">
        <v>750</v>
      </c>
      <c r="CG72" s="3273">
        <v>677</v>
      </c>
      <c r="CH72" s="3273">
        <v>706</v>
      </c>
      <c r="CI72" s="3275">
        <v>603</v>
      </c>
      <c r="CJ72" s="3349">
        <v>557</v>
      </c>
      <c r="CK72" s="3350">
        <v>399</v>
      </c>
      <c r="CL72" s="3350">
        <v>522</v>
      </c>
      <c r="CM72" s="3350">
        <v>690</v>
      </c>
      <c r="CN72" s="3350">
        <v>757</v>
      </c>
      <c r="CO72" s="3350">
        <v>705</v>
      </c>
      <c r="CP72" s="3350">
        <v>631</v>
      </c>
      <c r="CQ72" s="3350">
        <v>767</v>
      </c>
      <c r="CR72" s="3350">
        <v>753</v>
      </c>
      <c r="CS72" s="3350">
        <v>725</v>
      </c>
      <c r="CT72" s="3350">
        <v>711</v>
      </c>
      <c r="CU72" s="3351">
        <v>758</v>
      </c>
      <c r="CV72" s="3349">
        <v>729</v>
      </c>
      <c r="CW72" s="3350">
        <v>449</v>
      </c>
      <c r="CX72" s="3272">
        <v>579</v>
      </c>
      <c r="CY72" s="3272">
        <v>650</v>
      </c>
      <c r="CZ72" s="3272">
        <v>806</v>
      </c>
      <c r="DA72" s="3272">
        <v>606</v>
      </c>
      <c r="DB72" s="3272">
        <v>591</v>
      </c>
      <c r="DC72" s="3272">
        <v>464</v>
      </c>
      <c r="DD72" s="3272">
        <v>741</v>
      </c>
      <c r="DE72" s="3272">
        <v>750</v>
      </c>
      <c r="DF72" s="3272">
        <v>556</v>
      </c>
      <c r="DG72" s="3351">
        <v>690</v>
      </c>
      <c r="DH72" s="3352">
        <v>609</v>
      </c>
      <c r="DI72" s="3353">
        <v>395</v>
      </c>
      <c r="DJ72" s="3353">
        <v>546</v>
      </c>
      <c r="DK72" s="3354">
        <v>650</v>
      </c>
      <c r="DL72" s="3354">
        <v>636</v>
      </c>
      <c r="DM72" s="3354">
        <v>511</v>
      </c>
      <c r="DN72" s="3354">
        <v>541</v>
      </c>
      <c r="DO72" s="3354">
        <v>566</v>
      </c>
      <c r="DP72" s="2556">
        <v>611</v>
      </c>
      <c r="DQ72" s="3354">
        <v>811</v>
      </c>
      <c r="DR72" s="3354">
        <v>600</v>
      </c>
      <c r="DS72" s="3355">
        <v>536</v>
      </c>
      <c r="DT72" s="3356">
        <v>502</v>
      </c>
      <c r="DU72" s="3243">
        <v>379</v>
      </c>
      <c r="DV72" s="3243">
        <v>480</v>
      </c>
      <c r="DW72" s="3164">
        <v>624</v>
      </c>
      <c r="DX72" s="3164">
        <v>603</v>
      </c>
      <c r="DY72" s="3164">
        <v>484</v>
      </c>
      <c r="DZ72" s="3164">
        <v>514</v>
      </c>
      <c r="EA72" s="3164">
        <v>473</v>
      </c>
      <c r="EB72" s="3164">
        <v>733</v>
      </c>
      <c r="EC72" s="3164">
        <v>686</v>
      </c>
      <c r="ED72" s="3164">
        <v>593</v>
      </c>
      <c r="EE72" s="3163">
        <v>569</v>
      </c>
      <c r="EF72" s="2532">
        <v>523</v>
      </c>
      <c r="EG72" s="2531">
        <v>452</v>
      </c>
      <c r="EH72" s="2531">
        <v>441</v>
      </c>
      <c r="EI72" s="2531">
        <v>586</v>
      </c>
      <c r="EJ72" s="2531">
        <v>641</v>
      </c>
      <c r="EK72" s="2531">
        <v>594</v>
      </c>
      <c r="EL72" s="2531">
        <v>593</v>
      </c>
      <c r="EM72" s="2557">
        <v>523</v>
      </c>
      <c r="EN72" s="2557">
        <v>644</v>
      </c>
      <c r="EO72" s="2558">
        <v>673</v>
      </c>
      <c r="EP72" s="2558">
        <v>567</v>
      </c>
      <c r="EQ72" s="2559">
        <v>592</v>
      </c>
      <c r="ER72" s="1321">
        <v>571</v>
      </c>
      <c r="ES72" s="3357">
        <v>364</v>
      </c>
      <c r="ET72" s="3357">
        <v>471</v>
      </c>
      <c r="EU72" s="2560">
        <v>623</v>
      </c>
      <c r="EV72" s="2105">
        <v>642</v>
      </c>
      <c r="EW72" s="2105">
        <v>533</v>
      </c>
      <c r="EX72" s="2105">
        <v>547</v>
      </c>
      <c r="EY72" s="2105">
        <v>544</v>
      </c>
      <c r="EZ72" s="2105">
        <v>664</v>
      </c>
      <c r="FA72" s="2275">
        <v>547</v>
      </c>
      <c r="FB72" s="2275">
        <v>572</v>
      </c>
      <c r="FC72" s="2275">
        <v>604</v>
      </c>
      <c r="FD72" s="2615">
        <v>647</v>
      </c>
      <c r="FE72" s="2616">
        <v>431</v>
      </c>
      <c r="FF72" s="2616">
        <v>182</v>
      </c>
      <c r="FG72" s="2616">
        <v>2</v>
      </c>
      <c r="FH72" s="2616">
        <v>4</v>
      </c>
      <c r="FI72" s="2616">
        <v>5</v>
      </c>
      <c r="FJ72" s="2616">
        <v>7</v>
      </c>
      <c r="FK72" s="2616">
        <v>5</v>
      </c>
      <c r="FL72" s="2616">
        <v>7</v>
      </c>
      <c r="FM72" s="2616">
        <v>13</v>
      </c>
      <c r="FN72" s="2616">
        <v>30</v>
      </c>
      <c r="FO72" s="2617">
        <v>13</v>
      </c>
      <c r="FP72" s="2615">
        <v>13</v>
      </c>
      <c r="FQ72" s="2616">
        <v>4</v>
      </c>
      <c r="FR72" s="2616">
        <v>13</v>
      </c>
      <c r="FS72" s="2616">
        <v>17</v>
      </c>
      <c r="FT72" s="2616">
        <v>13</v>
      </c>
      <c r="FU72" s="2616"/>
      <c r="FV72" s="2616"/>
      <c r="FW72" s="2616"/>
      <c r="FX72" s="2616"/>
      <c r="FY72" s="2616"/>
      <c r="FZ72" s="2616"/>
      <c r="GA72" s="2618"/>
      <c r="GB72" s="2607"/>
      <c r="GC72" s="2754">
        <v>743</v>
      </c>
      <c r="GD72" s="2755">
        <v>920</v>
      </c>
      <c r="GE72" s="2755">
        <v>1043</v>
      </c>
      <c r="GF72" s="2756">
        <v>1337</v>
      </c>
      <c r="GG72" s="2757">
        <v>1380</v>
      </c>
      <c r="GH72" s="2758">
        <v>1364</v>
      </c>
      <c r="GI72" s="2758">
        <v>1347</v>
      </c>
      <c r="GJ72" s="2759">
        <v>1612</v>
      </c>
      <c r="GK72" s="2760">
        <v>1012</v>
      </c>
      <c r="GL72" s="2761">
        <v>1212</v>
      </c>
      <c r="GM72" s="2762">
        <v>1332</v>
      </c>
      <c r="GN72" s="2762">
        <v>1590</v>
      </c>
      <c r="GO72" s="2763">
        <v>1153</v>
      </c>
      <c r="GP72" s="2764">
        <v>1521</v>
      </c>
      <c r="GQ72" s="2764">
        <v>1322</v>
      </c>
      <c r="GR72" s="2765">
        <v>1600</v>
      </c>
      <c r="GS72" s="2766">
        <v>1297</v>
      </c>
      <c r="GT72" s="2767">
        <v>1582</v>
      </c>
      <c r="GU72" s="2767">
        <v>1425</v>
      </c>
      <c r="GV72" s="2768">
        <v>1943</v>
      </c>
      <c r="GW72" s="2764">
        <v>1436</v>
      </c>
      <c r="GX72" s="2764">
        <v>1759</v>
      </c>
      <c r="GY72" s="2764">
        <v>1579</v>
      </c>
      <c r="GZ72" s="2764">
        <v>2187</v>
      </c>
      <c r="HA72" s="2769">
        <v>1576</v>
      </c>
      <c r="HB72" s="2769">
        <v>1899</v>
      </c>
      <c r="HC72" s="2769">
        <v>1871</v>
      </c>
      <c r="HD72" s="2769">
        <v>1986</v>
      </c>
      <c r="HE72" s="2770">
        <v>1478</v>
      </c>
      <c r="HF72" s="2770">
        <v>2152</v>
      </c>
      <c r="HG72" s="2770">
        <f t="shared" si="17"/>
        <v>2151</v>
      </c>
      <c r="HH72" s="2770">
        <v>2194</v>
      </c>
      <c r="HI72" s="2771">
        <v>1757</v>
      </c>
      <c r="HJ72" s="2771">
        <f t="shared" si="18"/>
        <v>2062</v>
      </c>
      <c r="HK72" s="2771">
        <f t="shared" si="19"/>
        <v>1796</v>
      </c>
      <c r="HL72" s="2770">
        <f t="shared" si="20"/>
        <v>1996</v>
      </c>
      <c r="HM72" s="2689">
        <f t="shared" si="21"/>
        <v>1550</v>
      </c>
      <c r="HN72" s="2689">
        <f t="shared" si="22"/>
        <v>1797</v>
      </c>
      <c r="HO72" s="2689">
        <f t="shared" si="23"/>
        <v>1643</v>
      </c>
      <c r="HP72" s="2689">
        <f t="shared" si="24"/>
        <v>1947</v>
      </c>
      <c r="HQ72" s="2764">
        <f t="shared" si="25"/>
        <v>1361</v>
      </c>
      <c r="HR72" s="2764">
        <f t="shared" si="26"/>
        <v>1711</v>
      </c>
      <c r="HS72" s="2764">
        <f t="shared" si="27"/>
        <v>1720</v>
      </c>
      <c r="HT72" s="2764">
        <f t="shared" si="28"/>
        <v>1848</v>
      </c>
      <c r="HU72" s="2772">
        <f t="shared" si="29"/>
        <v>1416</v>
      </c>
      <c r="HV72" s="2769">
        <f t="shared" si="30"/>
        <v>1821</v>
      </c>
      <c r="HW72" s="2769">
        <f t="shared" si="31"/>
        <v>1760</v>
      </c>
      <c r="HX72" s="2769">
        <f t="shared" si="32"/>
        <v>1832</v>
      </c>
      <c r="HY72" s="2773">
        <f t="shared" si="33"/>
        <v>1406</v>
      </c>
      <c r="HZ72" s="2774">
        <f t="shared" si="34"/>
        <v>1798</v>
      </c>
      <c r="IA72" s="2774">
        <f t="shared" si="35"/>
        <v>1755</v>
      </c>
      <c r="IB72" s="2774">
        <f t="shared" si="36"/>
        <v>1723</v>
      </c>
      <c r="IC72" s="2775">
        <f t="shared" si="65"/>
        <v>1260</v>
      </c>
      <c r="ID72" s="2776">
        <f t="shared" si="66"/>
        <v>11</v>
      </c>
      <c r="IE72" s="2776">
        <f t="shared" si="67"/>
        <v>19</v>
      </c>
      <c r="IF72" s="2777">
        <f t="shared" si="68"/>
        <v>56</v>
      </c>
      <c r="IG72" s="2772">
        <f t="shared" si="51"/>
        <v>30</v>
      </c>
      <c r="IH72" s="2769">
        <f t="shared" si="52"/>
        <v>30</v>
      </c>
      <c r="II72" s="2769">
        <f t="shared" si="53"/>
        <v>0</v>
      </c>
      <c r="IJ72" s="2769">
        <f t="shared" si="54"/>
        <v>0</v>
      </c>
      <c r="IK72" s="2578"/>
      <c r="IL72" s="3358">
        <v>4043</v>
      </c>
      <c r="IM72" s="3359">
        <v>5703</v>
      </c>
      <c r="IN72" s="3359">
        <v>5146</v>
      </c>
      <c r="IO72" s="3359">
        <v>5596</v>
      </c>
      <c r="IP72" s="3359">
        <v>6247</v>
      </c>
      <c r="IQ72" s="3359">
        <v>6961</v>
      </c>
      <c r="IR72" s="3360">
        <v>7332</v>
      </c>
      <c r="IS72" s="3361">
        <v>7975</v>
      </c>
      <c r="IT72" s="3361">
        <f t="shared" si="37"/>
        <v>7611</v>
      </c>
      <c r="IU72" s="3361">
        <f t="shared" si="38"/>
        <v>7012</v>
      </c>
      <c r="IV72" s="3361">
        <f t="shared" si="39"/>
        <v>6640</v>
      </c>
      <c r="IW72" s="3361">
        <f t="shared" si="40"/>
        <v>6829</v>
      </c>
      <c r="IX72" s="3362">
        <f t="shared" si="55"/>
        <v>6682</v>
      </c>
      <c r="IY72" s="3380">
        <f t="shared" si="69"/>
        <v>1346</v>
      </c>
      <c r="IZ72" s="3378">
        <f t="shared" si="57"/>
        <v>285</v>
      </c>
      <c r="JA72" s="3579">
        <f t="shared" si="58"/>
        <v>60</v>
      </c>
      <c r="JC72" s="3365">
        <f t="shared" si="59"/>
        <v>815.5</v>
      </c>
      <c r="JD72" s="3366">
        <f t="shared" si="42"/>
        <v>1.1172258638106133E-2</v>
      </c>
      <c r="JE72" s="3366">
        <f t="shared" si="43"/>
        <v>1.0169527867416312E-2</v>
      </c>
      <c r="JF72" s="3366">
        <f t="shared" si="60"/>
        <v>9.9782287876795401E-3</v>
      </c>
      <c r="JG72" s="3366">
        <f t="shared" si="56"/>
        <v>9.7634389748535184E-3</v>
      </c>
      <c r="JH72" s="3366">
        <f t="shared" si="61"/>
        <v>7.0686965974676632E-3</v>
      </c>
      <c r="JI72" s="3379">
        <f t="shared" si="62"/>
        <v>1.0142493131574826E-3</v>
      </c>
      <c r="JJ72" s="3366"/>
      <c r="JK72" s="3368">
        <f t="shared" si="44"/>
        <v>-5.3051911009697639E-2</v>
      </c>
      <c r="JL72" s="3369">
        <f t="shared" si="45"/>
        <v>-0.88369937250427832</v>
      </c>
      <c r="JM72" s="3369">
        <f t="shared" si="46"/>
        <v>2.8463855421686723E-2</v>
      </c>
      <c r="JN72" s="3369">
        <f t="shared" si="46"/>
        <v>-2.1525845658222242E-2</v>
      </c>
      <c r="JO72" s="3369">
        <f t="shared" si="46"/>
        <v>-0.79856330439988032</v>
      </c>
      <c r="JP72" s="3370">
        <f t="shared" si="63"/>
        <v>-0.95734809937144572</v>
      </c>
      <c r="JQ72" s="3371">
        <f t="shared" si="64"/>
        <v>-0.78826151560178304</v>
      </c>
      <c r="JS72" s="3045"/>
      <c r="JT72" s="3045"/>
      <c r="JU72" s="3045"/>
      <c r="JV72" s="3045"/>
      <c r="JW72" s="3045"/>
      <c r="JX72" s="3045"/>
      <c r="JY72" s="3045"/>
      <c r="JZ72" s="3045"/>
      <c r="KA72" s="3045"/>
      <c r="KB72" s="3045"/>
      <c r="KC72" s="3045"/>
      <c r="KD72" s="3045"/>
      <c r="KE72" s="3045"/>
      <c r="KF72" s="3045"/>
      <c r="KG72" s="3045"/>
      <c r="KH72" s="3045"/>
      <c r="KI72" s="3045"/>
      <c r="KJ72" s="3045"/>
      <c r="KK72" s="3045"/>
      <c r="KL72" s="3045"/>
      <c r="KM72" s="3045"/>
      <c r="KN72" s="3045"/>
      <c r="KO72" s="3045"/>
    </row>
    <row r="73" spans="1:301" ht="21.9" customHeight="1">
      <c r="A73" s="3382"/>
      <c r="B73" s="3045"/>
      <c r="C73" s="3381" t="s">
        <v>22</v>
      </c>
      <c r="D73" s="3330">
        <v>113</v>
      </c>
      <c r="E73" s="3331">
        <v>80</v>
      </c>
      <c r="F73" s="3331">
        <v>131</v>
      </c>
      <c r="G73" s="3331">
        <v>89</v>
      </c>
      <c r="H73" s="3331">
        <v>83</v>
      </c>
      <c r="I73" s="3331">
        <v>111</v>
      </c>
      <c r="J73" s="3331">
        <v>125</v>
      </c>
      <c r="K73" s="3331">
        <v>125</v>
      </c>
      <c r="L73" s="3331">
        <v>216</v>
      </c>
      <c r="M73" s="3331">
        <v>145</v>
      </c>
      <c r="N73" s="3331">
        <v>163</v>
      </c>
      <c r="O73" s="3332">
        <v>118</v>
      </c>
      <c r="P73" s="3333">
        <v>101</v>
      </c>
      <c r="Q73" s="3334">
        <v>137</v>
      </c>
      <c r="R73" s="3334">
        <v>136</v>
      </c>
      <c r="S73" s="3334">
        <v>129</v>
      </c>
      <c r="T73" s="3334">
        <v>159</v>
      </c>
      <c r="U73" s="3334">
        <v>162</v>
      </c>
      <c r="V73" s="3334">
        <v>179</v>
      </c>
      <c r="W73" s="3334">
        <v>205</v>
      </c>
      <c r="X73" s="3334">
        <v>213</v>
      </c>
      <c r="Y73" s="3334">
        <v>255</v>
      </c>
      <c r="Z73" s="3334">
        <v>461</v>
      </c>
      <c r="AA73" s="3335">
        <v>158</v>
      </c>
      <c r="AB73" s="3336">
        <v>143</v>
      </c>
      <c r="AC73" s="3337">
        <v>169</v>
      </c>
      <c r="AD73" s="3337">
        <v>150</v>
      </c>
      <c r="AE73" s="3337">
        <v>150</v>
      </c>
      <c r="AF73" s="3337">
        <v>149</v>
      </c>
      <c r="AG73" s="3337">
        <v>148</v>
      </c>
      <c r="AH73" s="3337">
        <v>177</v>
      </c>
      <c r="AI73" s="3337">
        <v>202</v>
      </c>
      <c r="AJ73" s="3337">
        <v>177</v>
      </c>
      <c r="AK73" s="3337">
        <v>142</v>
      </c>
      <c r="AL73" s="3337">
        <v>186</v>
      </c>
      <c r="AM73" s="3338">
        <v>313</v>
      </c>
      <c r="AN73" s="3339">
        <v>183</v>
      </c>
      <c r="AO73" s="3340">
        <v>334</v>
      </c>
      <c r="AP73" s="3340">
        <v>252</v>
      </c>
      <c r="AQ73" s="3340">
        <v>204</v>
      </c>
      <c r="AR73" s="3340">
        <v>152</v>
      </c>
      <c r="AS73" s="3340">
        <v>152</v>
      </c>
      <c r="AT73" s="3340">
        <v>230</v>
      </c>
      <c r="AU73" s="3340">
        <v>176</v>
      </c>
      <c r="AV73" s="3340">
        <v>157</v>
      </c>
      <c r="AW73" s="3340">
        <v>172</v>
      </c>
      <c r="AX73" s="3340">
        <v>217</v>
      </c>
      <c r="AY73" s="3341">
        <v>253</v>
      </c>
      <c r="AZ73" s="3277">
        <v>153</v>
      </c>
      <c r="BA73" s="3277">
        <v>142</v>
      </c>
      <c r="BB73" s="3277">
        <v>164</v>
      </c>
      <c r="BC73" s="3277">
        <v>293</v>
      </c>
      <c r="BD73" s="3277">
        <v>171</v>
      </c>
      <c r="BE73" s="3277">
        <v>173</v>
      </c>
      <c r="BF73" s="3277">
        <v>231</v>
      </c>
      <c r="BG73" s="3277">
        <v>197</v>
      </c>
      <c r="BH73" s="3277">
        <v>245</v>
      </c>
      <c r="BI73" s="3277">
        <v>280</v>
      </c>
      <c r="BJ73" s="3277">
        <v>283</v>
      </c>
      <c r="BK73" s="3374">
        <v>243</v>
      </c>
      <c r="BL73" s="3344">
        <v>268</v>
      </c>
      <c r="BM73" s="3345">
        <v>150</v>
      </c>
      <c r="BN73" s="3345">
        <v>224</v>
      </c>
      <c r="BO73" s="3345">
        <v>227</v>
      </c>
      <c r="BP73" s="3345">
        <v>202</v>
      </c>
      <c r="BQ73" s="3345">
        <v>282</v>
      </c>
      <c r="BR73" s="3345">
        <v>254</v>
      </c>
      <c r="BS73" s="3345">
        <v>203</v>
      </c>
      <c r="BT73" s="3346">
        <v>282</v>
      </c>
      <c r="BU73" s="3346">
        <v>257</v>
      </c>
      <c r="BV73" s="3346">
        <v>199</v>
      </c>
      <c r="BW73" s="3347">
        <v>315</v>
      </c>
      <c r="BX73" s="3348">
        <v>272</v>
      </c>
      <c r="BY73" s="3273">
        <v>189</v>
      </c>
      <c r="BZ73" s="3273">
        <v>443</v>
      </c>
      <c r="CA73" s="3273">
        <v>360</v>
      </c>
      <c r="CB73" s="3273">
        <v>387</v>
      </c>
      <c r="CC73" s="3273">
        <v>395</v>
      </c>
      <c r="CD73" s="3273">
        <v>479</v>
      </c>
      <c r="CE73" s="3273">
        <v>345</v>
      </c>
      <c r="CF73" s="3273">
        <v>386</v>
      </c>
      <c r="CG73" s="3273">
        <v>394</v>
      </c>
      <c r="CH73" s="3273">
        <v>424</v>
      </c>
      <c r="CI73" s="3275">
        <v>430</v>
      </c>
      <c r="CJ73" s="3349">
        <v>349</v>
      </c>
      <c r="CK73" s="3350">
        <v>333</v>
      </c>
      <c r="CL73" s="3350">
        <v>286</v>
      </c>
      <c r="CM73" s="3350">
        <v>303</v>
      </c>
      <c r="CN73" s="3350">
        <v>228</v>
      </c>
      <c r="CO73" s="3350">
        <v>316</v>
      </c>
      <c r="CP73" s="3350">
        <v>267</v>
      </c>
      <c r="CQ73" s="3350">
        <v>252</v>
      </c>
      <c r="CR73" s="3350">
        <v>253</v>
      </c>
      <c r="CS73" s="3350">
        <v>338</v>
      </c>
      <c r="CT73" s="3350">
        <v>304</v>
      </c>
      <c r="CU73" s="3351">
        <v>275</v>
      </c>
      <c r="CV73" s="3349">
        <v>278</v>
      </c>
      <c r="CW73" s="3350">
        <v>193</v>
      </c>
      <c r="CX73" s="3272">
        <v>249</v>
      </c>
      <c r="CY73" s="3272">
        <v>229</v>
      </c>
      <c r="CZ73" s="3272">
        <v>231</v>
      </c>
      <c r="DA73" s="3272">
        <v>190</v>
      </c>
      <c r="DB73" s="3272">
        <v>322</v>
      </c>
      <c r="DC73" s="3272">
        <v>196</v>
      </c>
      <c r="DD73" s="3272">
        <v>227</v>
      </c>
      <c r="DE73" s="3272">
        <v>228</v>
      </c>
      <c r="DF73" s="3272">
        <v>256</v>
      </c>
      <c r="DG73" s="3351">
        <v>262</v>
      </c>
      <c r="DH73" s="3352">
        <v>237</v>
      </c>
      <c r="DI73" s="3353">
        <v>168</v>
      </c>
      <c r="DJ73" s="3353">
        <v>204</v>
      </c>
      <c r="DK73" s="3354">
        <v>199</v>
      </c>
      <c r="DL73" s="3354">
        <v>158</v>
      </c>
      <c r="DM73" s="3354">
        <v>188</v>
      </c>
      <c r="DN73" s="3354">
        <v>339</v>
      </c>
      <c r="DO73" s="3354">
        <v>179</v>
      </c>
      <c r="DP73" s="2556">
        <v>191</v>
      </c>
      <c r="DQ73" s="3354">
        <v>315</v>
      </c>
      <c r="DR73" s="3354">
        <v>275</v>
      </c>
      <c r="DS73" s="3355">
        <v>226</v>
      </c>
      <c r="DT73" s="3356">
        <v>390</v>
      </c>
      <c r="DU73" s="3243">
        <v>471</v>
      </c>
      <c r="DV73" s="3243">
        <v>444</v>
      </c>
      <c r="DW73" s="3164">
        <v>759</v>
      </c>
      <c r="DX73" s="3164">
        <v>521</v>
      </c>
      <c r="DY73" s="3164">
        <v>439</v>
      </c>
      <c r="DZ73" s="3164">
        <v>488</v>
      </c>
      <c r="EA73" s="3164">
        <v>356</v>
      </c>
      <c r="EB73" s="3164">
        <v>426</v>
      </c>
      <c r="EC73" s="3164">
        <v>447</v>
      </c>
      <c r="ED73" s="3164">
        <v>495</v>
      </c>
      <c r="EE73" s="3163">
        <v>605</v>
      </c>
      <c r="EF73" s="2532">
        <v>506</v>
      </c>
      <c r="EG73" s="2531">
        <v>426</v>
      </c>
      <c r="EH73" s="2531">
        <v>456</v>
      </c>
      <c r="EI73" s="2531">
        <v>390</v>
      </c>
      <c r="EJ73" s="2531">
        <v>427</v>
      </c>
      <c r="EK73" s="2531">
        <v>471</v>
      </c>
      <c r="EL73" s="2531">
        <v>587</v>
      </c>
      <c r="EM73" s="2557">
        <v>397</v>
      </c>
      <c r="EN73" s="2557">
        <v>461</v>
      </c>
      <c r="EO73" s="2558">
        <v>502</v>
      </c>
      <c r="EP73" s="2558">
        <v>499</v>
      </c>
      <c r="EQ73" s="2559">
        <v>531</v>
      </c>
      <c r="ER73" s="1323">
        <v>495</v>
      </c>
      <c r="ES73" s="3357">
        <v>377</v>
      </c>
      <c r="ET73" s="3357">
        <v>451</v>
      </c>
      <c r="EU73" s="2560">
        <v>422</v>
      </c>
      <c r="EV73" s="2107">
        <v>387</v>
      </c>
      <c r="EW73" s="2107">
        <v>474</v>
      </c>
      <c r="EX73" s="2107">
        <v>548</v>
      </c>
      <c r="EY73" s="2107">
        <v>402</v>
      </c>
      <c r="EZ73" s="2107">
        <v>511</v>
      </c>
      <c r="FA73" s="2275">
        <v>346</v>
      </c>
      <c r="FB73" s="2275">
        <v>543</v>
      </c>
      <c r="FC73" s="2275">
        <v>517</v>
      </c>
      <c r="FD73" s="2608">
        <v>505</v>
      </c>
      <c r="FE73" s="2609">
        <v>402</v>
      </c>
      <c r="FF73" s="2609">
        <v>207</v>
      </c>
      <c r="FG73" s="2609"/>
      <c r="FH73" s="2609">
        <v>1</v>
      </c>
      <c r="FI73" s="2609">
        <v>2</v>
      </c>
      <c r="FJ73" s="2609">
        <v>1</v>
      </c>
      <c r="FK73" s="2609">
        <v>5</v>
      </c>
      <c r="FL73" s="2609">
        <v>3</v>
      </c>
      <c r="FM73" s="2609">
        <v>9</v>
      </c>
      <c r="FN73" s="2609">
        <v>56</v>
      </c>
      <c r="FO73" s="2610">
        <v>61</v>
      </c>
      <c r="FP73" s="2608">
        <v>44</v>
      </c>
      <c r="FQ73" s="2609">
        <v>33</v>
      </c>
      <c r="FR73" s="2609">
        <v>81</v>
      </c>
      <c r="FS73" s="2609">
        <v>34</v>
      </c>
      <c r="FT73" s="2609">
        <v>41</v>
      </c>
      <c r="FU73" s="2609"/>
      <c r="FV73" s="2609"/>
      <c r="FW73" s="2609"/>
      <c r="FX73" s="2609"/>
      <c r="FY73" s="2609"/>
      <c r="FZ73" s="2609"/>
      <c r="GA73" s="2614"/>
      <c r="GB73" s="2607"/>
      <c r="GC73" s="2754">
        <v>324</v>
      </c>
      <c r="GD73" s="2755">
        <v>283</v>
      </c>
      <c r="GE73" s="2755">
        <v>466</v>
      </c>
      <c r="GF73" s="2756">
        <v>426</v>
      </c>
      <c r="GG73" s="2757">
        <v>374</v>
      </c>
      <c r="GH73" s="2758">
        <v>450</v>
      </c>
      <c r="GI73" s="2758">
        <v>597</v>
      </c>
      <c r="GJ73" s="2759">
        <v>874</v>
      </c>
      <c r="GK73" s="2760">
        <v>462</v>
      </c>
      <c r="GL73" s="2761">
        <v>447</v>
      </c>
      <c r="GM73" s="2762">
        <v>556</v>
      </c>
      <c r="GN73" s="2762">
        <v>641</v>
      </c>
      <c r="GO73" s="2763">
        <v>769</v>
      </c>
      <c r="GP73" s="2764">
        <v>508</v>
      </c>
      <c r="GQ73" s="2764">
        <v>563</v>
      </c>
      <c r="GR73" s="2765">
        <v>642</v>
      </c>
      <c r="GS73" s="2766">
        <v>459</v>
      </c>
      <c r="GT73" s="2767">
        <v>637</v>
      </c>
      <c r="GU73" s="2767">
        <v>673</v>
      </c>
      <c r="GV73" s="2768">
        <v>806</v>
      </c>
      <c r="GW73" s="2764">
        <v>642</v>
      </c>
      <c r="GX73" s="2764">
        <v>711</v>
      </c>
      <c r="GY73" s="2764">
        <v>739</v>
      </c>
      <c r="GZ73" s="2764">
        <v>771</v>
      </c>
      <c r="HA73" s="2769">
        <v>904</v>
      </c>
      <c r="HB73" s="2769">
        <v>1142</v>
      </c>
      <c r="HC73" s="2769">
        <v>1210</v>
      </c>
      <c r="HD73" s="2769">
        <v>1248</v>
      </c>
      <c r="HE73" s="2770">
        <v>968</v>
      </c>
      <c r="HF73" s="2770">
        <v>847</v>
      </c>
      <c r="HG73" s="2770">
        <f t="shared" si="17"/>
        <v>772</v>
      </c>
      <c r="HH73" s="2770">
        <v>917</v>
      </c>
      <c r="HI73" s="2771">
        <v>720</v>
      </c>
      <c r="HJ73" s="2771">
        <f t="shared" si="18"/>
        <v>650</v>
      </c>
      <c r="HK73" s="2771">
        <f t="shared" si="19"/>
        <v>745</v>
      </c>
      <c r="HL73" s="2770">
        <f t="shared" si="20"/>
        <v>746</v>
      </c>
      <c r="HM73" s="2689">
        <f t="shared" si="21"/>
        <v>609</v>
      </c>
      <c r="HN73" s="2689">
        <f t="shared" si="22"/>
        <v>545</v>
      </c>
      <c r="HO73" s="2689">
        <f t="shared" si="23"/>
        <v>744</v>
      </c>
      <c r="HP73" s="2689">
        <f t="shared" si="24"/>
        <v>816</v>
      </c>
      <c r="HQ73" s="2764">
        <f t="shared" si="25"/>
        <v>1305</v>
      </c>
      <c r="HR73" s="2764">
        <f t="shared" si="26"/>
        <v>1719</v>
      </c>
      <c r="HS73" s="2764">
        <f t="shared" si="27"/>
        <v>1270</v>
      </c>
      <c r="HT73" s="2764">
        <f t="shared" si="28"/>
        <v>1547</v>
      </c>
      <c r="HU73" s="2772">
        <f t="shared" si="29"/>
        <v>1388</v>
      </c>
      <c r="HV73" s="2769">
        <f t="shared" si="30"/>
        <v>1288</v>
      </c>
      <c r="HW73" s="2769">
        <f t="shared" si="31"/>
        <v>1445</v>
      </c>
      <c r="HX73" s="2769">
        <f t="shared" si="32"/>
        <v>1532</v>
      </c>
      <c r="HY73" s="2773">
        <f t="shared" si="33"/>
        <v>1323</v>
      </c>
      <c r="HZ73" s="2774">
        <f t="shared" si="34"/>
        <v>1283</v>
      </c>
      <c r="IA73" s="2774">
        <f t="shared" si="35"/>
        <v>1461</v>
      </c>
      <c r="IB73" s="2774">
        <f t="shared" si="36"/>
        <v>1406</v>
      </c>
      <c r="IC73" s="2775">
        <f t="shared" si="65"/>
        <v>1114</v>
      </c>
      <c r="ID73" s="2776">
        <f t="shared" si="66"/>
        <v>3</v>
      </c>
      <c r="IE73" s="2776">
        <f t="shared" si="67"/>
        <v>9</v>
      </c>
      <c r="IF73" s="2777">
        <f t="shared" si="68"/>
        <v>126</v>
      </c>
      <c r="IG73" s="2772">
        <f t="shared" si="51"/>
        <v>158</v>
      </c>
      <c r="IH73" s="2769">
        <f t="shared" si="52"/>
        <v>75</v>
      </c>
      <c r="II73" s="2769">
        <f t="shared" si="53"/>
        <v>0</v>
      </c>
      <c r="IJ73" s="2769">
        <f t="shared" si="54"/>
        <v>0</v>
      </c>
      <c r="IK73" s="2578"/>
      <c r="IL73" s="3358">
        <v>1499</v>
      </c>
      <c r="IM73" s="3359">
        <v>2295</v>
      </c>
      <c r="IN73" s="3359">
        <v>2106</v>
      </c>
      <c r="IO73" s="3359">
        <v>2482</v>
      </c>
      <c r="IP73" s="3359">
        <v>2575</v>
      </c>
      <c r="IQ73" s="3359">
        <v>2863</v>
      </c>
      <c r="IR73" s="3360">
        <v>4504</v>
      </c>
      <c r="IS73" s="3361">
        <v>3504</v>
      </c>
      <c r="IT73" s="3361">
        <f t="shared" si="37"/>
        <v>2861</v>
      </c>
      <c r="IU73" s="3361">
        <f t="shared" si="38"/>
        <v>2679</v>
      </c>
      <c r="IV73" s="3361">
        <f t="shared" si="39"/>
        <v>5841</v>
      </c>
      <c r="IW73" s="3361">
        <f t="shared" si="40"/>
        <v>5653</v>
      </c>
      <c r="IX73" s="3362">
        <f t="shared" si="55"/>
        <v>5473</v>
      </c>
      <c r="IY73" s="3380">
        <f t="shared" si="69"/>
        <v>1252</v>
      </c>
      <c r="IZ73" s="3378">
        <f t="shared" si="57"/>
        <v>422</v>
      </c>
      <c r="JA73" s="3579">
        <f t="shared" si="58"/>
        <v>233</v>
      </c>
      <c r="JC73" s="3365">
        <f t="shared" si="59"/>
        <v>837</v>
      </c>
      <c r="JD73" s="3366">
        <f t="shared" si="42"/>
        <v>4.2684656148725512E-3</v>
      </c>
      <c r="JE73" s="3366">
        <f t="shared" si="43"/>
        <v>8.9458151014425724E-3</v>
      </c>
      <c r="JF73" s="3366">
        <f t="shared" si="60"/>
        <v>8.2599102850713767E-3</v>
      </c>
      <c r="JG73" s="3366">
        <f t="shared" si="56"/>
        <v>7.996902350998699E-3</v>
      </c>
      <c r="JH73" s="3366">
        <f t="shared" si="61"/>
        <v>6.575043194672745E-3</v>
      </c>
      <c r="JI73" s="3379">
        <f t="shared" si="62"/>
        <v>1.5018007373770446E-3</v>
      </c>
      <c r="JJ73" s="3366"/>
      <c r="JK73" s="3368">
        <f t="shared" si="44"/>
        <v>1.1802911534154537</v>
      </c>
      <c r="JL73" s="3369">
        <f t="shared" si="45"/>
        <v>-0.68756998880179165</v>
      </c>
      <c r="JM73" s="3369">
        <f t="shared" si="46"/>
        <v>-3.218626947440506E-2</v>
      </c>
      <c r="JN73" s="3369">
        <f t="shared" si="46"/>
        <v>-3.184150008844866E-2</v>
      </c>
      <c r="JO73" s="3369">
        <f t="shared" si="46"/>
        <v>-0.77124063584871183</v>
      </c>
      <c r="JP73" s="3370">
        <f t="shared" si="63"/>
        <v>-0.92289420792983734</v>
      </c>
      <c r="JQ73" s="3371">
        <f t="shared" si="64"/>
        <v>-0.66293929712460065</v>
      </c>
      <c r="JS73" s="3045"/>
      <c r="JT73" s="3045"/>
      <c r="JU73" s="3045"/>
      <c r="JV73" s="3045"/>
      <c r="JW73" s="3045"/>
      <c r="JX73" s="3045"/>
      <c r="JY73" s="3045"/>
      <c r="JZ73" s="3045"/>
      <c r="KA73" s="3045"/>
      <c r="KB73" s="3045"/>
      <c r="KC73" s="3045"/>
      <c r="KD73" s="3045"/>
      <c r="KE73" s="3045"/>
      <c r="KF73" s="3045"/>
      <c r="KG73" s="3045"/>
      <c r="KH73" s="3045"/>
      <c r="KI73" s="3045"/>
      <c r="KJ73" s="3045"/>
      <c r="KK73" s="3045"/>
      <c r="KL73" s="3045"/>
      <c r="KM73" s="3045"/>
      <c r="KN73" s="3045"/>
      <c r="KO73" s="3045"/>
    </row>
    <row r="74" spans="1:301" ht="21.9" customHeight="1">
      <c r="A74" s="3382"/>
      <c r="B74" s="3045"/>
      <c r="C74" s="3381" t="s">
        <v>25</v>
      </c>
      <c r="D74" s="3330">
        <v>191</v>
      </c>
      <c r="E74" s="3331">
        <v>147</v>
      </c>
      <c r="F74" s="3331">
        <v>184</v>
      </c>
      <c r="G74" s="3331">
        <v>164</v>
      </c>
      <c r="H74" s="3331">
        <v>171</v>
      </c>
      <c r="I74" s="3331">
        <v>315</v>
      </c>
      <c r="J74" s="3331">
        <v>438</v>
      </c>
      <c r="K74" s="3331">
        <v>326</v>
      </c>
      <c r="L74" s="3331">
        <v>276</v>
      </c>
      <c r="M74" s="3331">
        <v>312</v>
      </c>
      <c r="N74" s="3331">
        <v>240</v>
      </c>
      <c r="O74" s="3332">
        <v>141</v>
      </c>
      <c r="P74" s="3333">
        <v>227</v>
      </c>
      <c r="Q74" s="3334">
        <v>309</v>
      </c>
      <c r="R74" s="3334">
        <v>244</v>
      </c>
      <c r="S74" s="3334">
        <v>211</v>
      </c>
      <c r="T74" s="3334">
        <v>218</v>
      </c>
      <c r="U74" s="3334">
        <v>331</v>
      </c>
      <c r="V74" s="3334">
        <v>626</v>
      </c>
      <c r="W74" s="3334">
        <v>308</v>
      </c>
      <c r="X74" s="3334">
        <v>265</v>
      </c>
      <c r="Y74" s="3334">
        <v>268</v>
      </c>
      <c r="Z74" s="3334">
        <v>267</v>
      </c>
      <c r="AA74" s="3335">
        <v>167</v>
      </c>
      <c r="AB74" s="3336">
        <v>197</v>
      </c>
      <c r="AC74" s="3337">
        <v>192</v>
      </c>
      <c r="AD74" s="3337">
        <v>173</v>
      </c>
      <c r="AE74" s="3337">
        <v>357</v>
      </c>
      <c r="AF74" s="3337">
        <v>355</v>
      </c>
      <c r="AG74" s="3337">
        <v>353</v>
      </c>
      <c r="AH74" s="3337">
        <v>540</v>
      </c>
      <c r="AI74" s="3337">
        <v>350</v>
      </c>
      <c r="AJ74" s="3337">
        <v>282</v>
      </c>
      <c r="AK74" s="3337">
        <v>316</v>
      </c>
      <c r="AL74" s="3337">
        <v>221</v>
      </c>
      <c r="AM74" s="3338">
        <v>212</v>
      </c>
      <c r="AN74" s="3339">
        <v>233</v>
      </c>
      <c r="AO74" s="3340">
        <v>194</v>
      </c>
      <c r="AP74" s="3340">
        <v>155</v>
      </c>
      <c r="AQ74" s="3340">
        <v>196</v>
      </c>
      <c r="AR74" s="3340">
        <v>171</v>
      </c>
      <c r="AS74" s="3340">
        <v>316</v>
      </c>
      <c r="AT74" s="3340">
        <v>607</v>
      </c>
      <c r="AU74" s="3340">
        <v>289</v>
      </c>
      <c r="AV74" s="3340">
        <v>282</v>
      </c>
      <c r="AW74" s="3340">
        <v>216</v>
      </c>
      <c r="AX74" s="3340">
        <v>267</v>
      </c>
      <c r="AY74" s="3341">
        <v>190</v>
      </c>
      <c r="AZ74" s="3277">
        <v>184</v>
      </c>
      <c r="BA74" s="3277">
        <v>211</v>
      </c>
      <c r="BB74" s="3277">
        <v>169</v>
      </c>
      <c r="BC74" s="3277">
        <v>205</v>
      </c>
      <c r="BD74" s="3277">
        <v>200</v>
      </c>
      <c r="BE74" s="3277">
        <v>313</v>
      </c>
      <c r="BF74" s="3277">
        <v>620</v>
      </c>
      <c r="BG74" s="3277">
        <v>258</v>
      </c>
      <c r="BH74" s="3277">
        <v>275</v>
      </c>
      <c r="BI74" s="3277">
        <v>302</v>
      </c>
      <c r="BJ74" s="3277">
        <v>305</v>
      </c>
      <c r="BK74" s="3374">
        <v>214</v>
      </c>
      <c r="BL74" s="3344">
        <v>196</v>
      </c>
      <c r="BM74" s="3345">
        <v>218</v>
      </c>
      <c r="BN74" s="3345">
        <v>222</v>
      </c>
      <c r="BO74" s="3345">
        <v>155</v>
      </c>
      <c r="BP74" s="3345">
        <v>206</v>
      </c>
      <c r="BQ74" s="3345">
        <v>450</v>
      </c>
      <c r="BR74" s="3345">
        <v>575</v>
      </c>
      <c r="BS74" s="3345">
        <v>291</v>
      </c>
      <c r="BT74" s="3346">
        <v>229</v>
      </c>
      <c r="BU74" s="3346">
        <v>271</v>
      </c>
      <c r="BV74" s="3346">
        <v>261</v>
      </c>
      <c r="BW74" s="3347">
        <v>255</v>
      </c>
      <c r="BX74" s="3348">
        <v>204</v>
      </c>
      <c r="BY74" s="3273">
        <v>192</v>
      </c>
      <c r="BZ74" s="3273">
        <v>280</v>
      </c>
      <c r="CA74" s="3273">
        <v>160</v>
      </c>
      <c r="CB74" s="3273">
        <v>223</v>
      </c>
      <c r="CC74" s="3273">
        <v>404</v>
      </c>
      <c r="CD74" s="3273">
        <v>597</v>
      </c>
      <c r="CE74" s="3273">
        <v>307</v>
      </c>
      <c r="CF74" s="3273">
        <v>259</v>
      </c>
      <c r="CG74" s="3273">
        <v>272</v>
      </c>
      <c r="CH74" s="3273">
        <v>263</v>
      </c>
      <c r="CI74" s="3275">
        <v>290</v>
      </c>
      <c r="CJ74" s="3349">
        <v>251</v>
      </c>
      <c r="CK74" s="3350">
        <v>233</v>
      </c>
      <c r="CL74" s="3350">
        <v>238</v>
      </c>
      <c r="CM74" s="3350">
        <v>277</v>
      </c>
      <c r="CN74" s="3350">
        <v>207</v>
      </c>
      <c r="CO74" s="3350">
        <v>470</v>
      </c>
      <c r="CP74" s="3350">
        <v>549</v>
      </c>
      <c r="CQ74" s="3350">
        <v>239</v>
      </c>
      <c r="CR74" s="3350">
        <v>269</v>
      </c>
      <c r="CS74" s="3350">
        <v>283</v>
      </c>
      <c r="CT74" s="3350">
        <v>246</v>
      </c>
      <c r="CU74" s="3351">
        <v>254</v>
      </c>
      <c r="CV74" s="3349">
        <v>241</v>
      </c>
      <c r="CW74" s="3350">
        <v>223</v>
      </c>
      <c r="CX74" s="3272">
        <v>216</v>
      </c>
      <c r="CY74" s="3272">
        <v>246</v>
      </c>
      <c r="CZ74" s="3272">
        <v>178</v>
      </c>
      <c r="DA74" s="3272">
        <v>422</v>
      </c>
      <c r="DB74" s="3272">
        <v>543</v>
      </c>
      <c r="DC74" s="3272">
        <v>270</v>
      </c>
      <c r="DD74" s="3272">
        <v>258</v>
      </c>
      <c r="DE74" s="3272">
        <v>297</v>
      </c>
      <c r="DF74" s="3272">
        <v>250</v>
      </c>
      <c r="DG74" s="3351">
        <v>227</v>
      </c>
      <c r="DH74" s="3352">
        <v>280</v>
      </c>
      <c r="DI74" s="3353">
        <v>197</v>
      </c>
      <c r="DJ74" s="3353">
        <v>236</v>
      </c>
      <c r="DK74" s="3354">
        <v>158</v>
      </c>
      <c r="DL74" s="3354">
        <v>178</v>
      </c>
      <c r="DM74" s="3354">
        <v>492</v>
      </c>
      <c r="DN74" s="3354">
        <v>634</v>
      </c>
      <c r="DO74" s="3354">
        <v>279</v>
      </c>
      <c r="DP74" s="2556">
        <v>280</v>
      </c>
      <c r="DQ74" s="3354">
        <v>301</v>
      </c>
      <c r="DR74" s="3354">
        <v>213</v>
      </c>
      <c r="DS74" s="3355">
        <v>198</v>
      </c>
      <c r="DT74" s="3356">
        <v>219</v>
      </c>
      <c r="DU74" s="3243">
        <v>171</v>
      </c>
      <c r="DV74" s="3243">
        <v>217</v>
      </c>
      <c r="DW74" s="3164">
        <v>219</v>
      </c>
      <c r="DX74" s="3164">
        <v>146</v>
      </c>
      <c r="DY74" s="3164">
        <v>398</v>
      </c>
      <c r="DZ74" s="3164">
        <v>590</v>
      </c>
      <c r="EA74" s="3164">
        <v>340</v>
      </c>
      <c r="EB74" s="3164">
        <v>296</v>
      </c>
      <c r="EC74" s="3164">
        <v>261</v>
      </c>
      <c r="ED74" s="3164">
        <v>257</v>
      </c>
      <c r="EE74" s="3163">
        <v>209</v>
      </c>
      <c r="EF74" s="2532">
        <v>187</v>
      </c>
      <c r="EG74" s="2531">
        <v>221</v>
      </c>
      <c r="EH74" s="2531">
        <v>298</v>
      </c>
      <c r="EI74" s="2531">
        <v>220</v>
      </c>
      <c r="EJ74" s="2531">
        <v>271</v>
      </c>
      <c r="EK74" s="2531">
        <v>384</v>
      </c>
      <c r="EL74" s="2531">
        <v>705</v>
      </c>
      <c r="EM74" s="2557">
        <v>361</v>
      </c>
      <c r="EN74" s="2557">
        <v>355</v>
      </c>
      <c r="EO74" s="2558">
        <v>351</v>
      </c>
      <c r="EP74" s="2558">
        <v>305</v>
      </c>
      <c r="EQ74" s="2559">
        <v>277</v>
      </c>
      <c r="ER74" s="1323">
        <v>216</v>
      </c>
      <c r="ES74" s="3357">
        <v>230</v>
      </c>
      <c r="ET74" s="3357">
        <v>215</v>
      </c>
      <c r="EU74" s="2560">
        <v>326</v>
      </c>
      <c r="EV74" s="2107">
        <v>321</v>
      </c>
      <c r="EW74" s="2107">
        <v>638</v>
      </c>
      <c r="EX74" s="2107">
        <v>876</v>
      </c>
      <c r="EY74" s="2107">
        <v>440</v>
      </c>
      <c r="EZ74" s="2107">
        <v>523</v>
      </c>
      <c r="FA74" s="2275">
        <v>295</v>
      </c>
      <c r="FB74" s="2275">
        <v>448</v>
      </c>
      <c r="FC74" s="2275">
        <v>423</v>
      </c>
      <c r="FD74" s="2615">
        <v>342</v>
      </c>
      <c r="FE74" s="2616">
        <v>340</v>
      </c>
      <c r="FF74" s="2616">
        <v>151</v>
      </c>
      <c r="FG74" s="2616">
        <v>4</v>
      </c>
      <c r="FH74" s="2616">
        <v>5</v>
      </c>
      <c r="FI74" s="2616">
        <v>9</v>
      </c>
      <c r="FJ74" s="2616">
        <v>33</v>
      </c>
      <c r="FK74" s="2616">
        <v>28</v>
      </c>
      <c r="FL74" s="2616">
        <v>23</v>
      </c>
      <c r="FM74" s="2616">
        <v>33</v>
      </c>
      <c r="FN74" s="2616">
        <v>34</v>
      </c>
      <c r="FO74" s="2617">
        <v>93</v>
      </c>
      <c r="FP74" s="2615">
        <v>62</v>
      </c>
      <c r="FQ74" s="2616">
        <v>42</v>
      </c>
      <c r="FR74" s="2616">
        <v>56</v>
      </c>
      <c r="FS74" s="2616">
        <v>68</v>
      </c>
      <c r="FT74" s="2616">
        <v>55</v>
      </c>
      <c r="FU74" s="2616"/>
      <c r="FV74" s="2616"/>
      <c r="FW74" s="2616"/>
      <c r="FX74" s="2616"/>
      <c r="FY74" s="2616"/>
      <c r="FZ74" s="2616"/>
      <c r="GA74" s="2618"/>
      <c r="GB74" s="2607"/>
      <c r="GC74" s="2754">
        <v>522</v>
      </c>
      <c r="GD74" s="2755">
        <v>650</v>
      </c>
      <c r="GE74" s="2755">
        <v>1040</v>
      </c>
      <c r="GF74" s="2756">
        <v>693</v>
      </c>
      <c r="GG74" s="2757">
        <v>780</v>
      </c>
      <c r="GH74" s="2758">
        <v>760</v>
      </c>
      <c r="GI74" s="2758">
        <v>1199</v>
      </c>
      <c r="GJ74" s="2759">
        <v>702</v>
      </c>
      <c r="GK74" s="2760">
        <v>562</v>
      </c>
      <c r="GL74" s="2761">
        <v>1065</v>
      </c>
      <c r="GM74" s="2762">
        <v>1172</v>
      </c>
      <c r="GN74" s="2762">
        <v>749</v>
      </c>
      <c r="GO74" s="2763">
        <v>582</v>
      </c>
      <c r="GP74" s="2764">
        <v>683</v>
      </c>
      <c r="GQ74" s="2764">
        <v>1178</v>
      </c>
      <c r="GR74" s="2765">
        <v>673</v>
      </c>
      <c r="GS74" s="2766">
        <v>564</v>
      </c>
      <c r="GT74" s="2767">
        <v>718</v>
      </c>
      <c r="GU74" s="2767">
        <v>1153</v>
      </c>
      <c r="GV74" s="2768">
        <v>821</v>
      </c>
      <c r="GW74" s="2764">
        <v>636</v>
      </c>
      <c r="GX74" s="2764">
        <v>811</v>
      </c>
      <c r="GY74" s="2764">
        <v>1095</v>
      </c>
      <c r="GZ74" s="2764">
        <v>787</v>
      </c>
      <c r="HA74" s="2769">
        <v>676</v>
      </c>
      <c r="HB74" s="2769">
        <v>787</v>
      </c>
      <c r="HC74" s="2769">
        <v>1163</v>
      </c>
      <c r="HD74" s="2769">
        <v>825</v>
      </c>
      <c r="HE74" s="2770">
        <v>722</v>
      </c>
      <c r="HF74" s="2770">
        <v>954</v>
      </c>
      <c r="HG74" s="2770">
        <f t="shared" si="17"/>
        <v>1057</v>
      </c>
      <c r="HH74" s="2770">
        <v>783</v>
      </c>
      <c r="HI74" s="2771">
        <v>680</v>
      </c>
      <c r="HJ74" s="2771">
        <f t="shared" si="18"/>
        <v>846</v>
      </c>
      <c r="HK74" s="2771">
        <f t="shared" si="19"/>
        <v>1071</v>
      </c>
      <c r="HL74" s="2770">
        <f t="shared" si="20"/>
        <v>774</v>
      </c>
      <c r="HM74" s="2689">
        <f t="shared" si="21"/>
        <v>713</v>
      </c>
      <c r="HN74" s="2689">
        <f t="shared" si="22"/>
        <v>828</v>
      </c>
      <c r="HO74" s="2689">
        <f t="shared" si="23"/>
        <v>1111</v>
      </c>
      <c r="HP74" s="2689">
        <f t="shared" si="24"/>
        <v>712</v>
      </c>
      <c r="HQ74" s="2764">
        <f t="shared" si="25"/>
        <v>607</v>
      </c>
      <c r="HR74" s="2764">
        <f t="shared" si="26"/>
        <v>763</v>
      </c>
      <c r="HS74" s="2764">
        <f t="shared" si="27"/>
        <v>1226</v>
      </c>
      <c r="HT74" s="2764">
        <f t="shared" si="28"/>
        <v>727</v>
      </c>
      <c r="HU74" s="2772">
        <f t="shared" si="29"/>
        <v>706</v>
      </c>
      <c r="HV74" s="2769">
        <f t="shared" si="30"/>
        <v>875</v>
      </c>
      <c r="HW74" s="2769">
        <f t="shared" si="31"/>
        <v>1421</v>
      </c>
      <c r="HX74" s="2769">
        <f t="shared" si="32"/>
        <v>933</v>
      </c>
      <c r="HY74" s="2773">
        <f t="shared" si="33"/>
        <v>661</v>
      </c>
      <c r="HZ74" s="2774">
        <f t="shared" si="34"/>
        <v>1285</v>
      </c>
      <c r="IA74" s="2774">
        <f t="shared" si="35"/>
        <v>1839</v>
      </c>
      <c r="IB74" s="2774">
        <f t="shared" si="36"/>
        <v>1166</v>
      </c>
      <c r="IC74" s="2775">
        <f t="shared" si="65"/>
        <v>833</v>
      </c>
      <c r="ID74" s="2776">
        <f t="shared" si="66"/>
        <v>18</v>
      </c>
      <c r="IE74" s="2776">
        <f t="shared" si="67"/>
        <v>84</v>
      </c>
      <c r="IF74" s="2777">
        <f t="shared" si="68"/>
        <v>160</v>
      </c>
      <c r="IG74" s="2772">
        <f t="shared" si="51"/>
        <v>160</v>
      </c>
      <c r="IH74" s="2769">
        <f t="shared" si="52"/>
        <v>123</v>
      </c>
      <c r="II74" s="2769">
        <f t="shared" si="53"/>
        <v>0</v>
      </c>
      <c r="IJ74" s="2769">
        <f t="shared" si="54"/>
        <v>0</v>
      </c>
      <c r="IK74" s="2578"/>
      <c r="IL74" s="3358">
        <v>2905</v>
      </c>
      <c r="IM74" s="3359">
        <v>3441</v>
      </c>
      <c r="IN74" s="3359">
        <v>3548</v>
      </c>
      <c r="IO74" s="3359">
        <v>3116</v>
      </c>
      <c r="IP74" s="3359">
        <v>3256</v>
      </c>
      <c r="IQ74" s="3359">
        <v>3329</v>
      </c>
      <c r="IR74" s="3360">
        <v>3451</v>
      </c>
      <c r="IS74" s="3361">
        <v>3516</v>
      </c>
      <c r="IT74" s="3361">
        <f t="shared" si="37"/>
        <v>3371</v>
      </c>
      <c r="IU74" s="3361">
        <f t="shared" si="38"/>
        <v>3446</v>
      </c>
      <c r="IV74" s="3361">
        <f t="shared" si="39"/>
        <v>3323</v>
      </c>
      <c r="IW74" s="3361">
        <f t="shared" si="40"/>
        <v>3935</v>
      </c>
      <c r="IX74" s="3362">
        <f t="shared" si="55"/>
        <v>4951</v>
      </c>
      <c r="IY74" s="3380">
        <f t="shared" si="69"/>
        <v>1095</v>
      </c>
      <c r="IZ74" s="3378">
        <f t="shared" si="57"/>
        <v>517</v>
      </c>
      <c r="JA74" s="3579">
        <f t="shared" si="58"/>
        <v>283</v>
      </c>
      <c r="JC74" s="3365">
        <f t="shared" si="59"/>
        <v>806</v>
      </c>
      <c r="JD74" s="3366">
        <f t="shared" si="42"/>
        <v>5.4905309850133682E-3</v>
      </c>
      <c r="JE74" s="3366">
        <f t="shared" si="43"/>
        <v>5.0893585999133139E-3</v>
      </c>
      <c r="JF74" s="3366">
        <f t="shared" si="60"/>
        <v>5.7496456698665965E-3</v>
      </c>
      <c r="JG74" s="3366">
        <f t="shared" si="56"/>
        <v>7.2341793421879337E-3</v>
      </c>
      <c r="JH74" s="3366">
        <f t="shared" si="61"/>
        <v>5.7505369793663377E-3</v>
      </c>
      <c r="JI74" s="3379">
        <f t="shared" si="62"/>
        <v>1.8398838417628721E-3</v>
      </c>
      <c r="JJ74" s="3366"/>
      <c r="JK74" s="3368">
        <f t="shared" si="44"/>
        <v>-3.569355774811378E-2</v>
      </c>
      <c r="JL74" s="3369">
        <f t="shared" si="45"/>
        <v>-0.76610562971561236</v>
      </c>
      <c r="JM74" s="3369">
        <f t="shared" si="46"/>
        <v>0.18417092988263617</v>
      </c>
      <c r="JN74" s="3369">
        <f t="shared" si="46"/>
        <v>0.25819567979669622</v>
      </c>
      <c r="JO74" s="3369">
        <f t="shared" si="46"/>
        <v>-0.77883255907897397</v>
      </c>
      <c r="JP74" s="3370">
        <f t="shared" si="63"/>
        <v>-0.89557665118157948</v>
      </c>
      <c r="JQ74" s="3371">
        <f t="shared" si="64"/>
        <v>-0.52785388127853883</v>
      </c>
      <c r="JS74" s="3045"/>
      <c r="JT74" s="3045"/>
      <c r="JU74" s="3045"/>
      <c r="JV74" s="3045"/>
      <c r="JW74" s="3045"/>
      <c r="JX74" s="3045"/>
      <c r="JY74" s="3045"/>
      <c r="JZ74" s="3045"/>
      <c r="KA74" s="3045"/>
      <c r="KB74" s="3045"/>
      <c r="KC74" s="3045"/>
      <c r="KD74" s="3045"/>
      <c r="KE74" s="3045"/>
      <c r="KF74" s="3045"/>
      <c r="KG74" s="3045"/>
      <c r="KH74" s="3045"/>
      <c r="KI74" s="3045"/>
      <c r="KJ74" s="3045"/>
      <c r="KK74" s="3045"/>
      <c r="KL74" s="3045"/>
      <c r="KM74" s="3045"/>
      <c r="KN74" s="3045"/>
      <c r="KO74" s="3045"/>
    </row>
    <row r="75" spans="1:301" ht="21.9" customHeight="1">
      <c r="A75" s="3382"/>
      <c r="B75" s="3045"/>
      <c r="C75" s="3381" t="s">
        <v>30</v>
      </c>
      <c r="D75" s="3330">
        <v>164</v>
      </c>
      <c r="E75" s="3331">
        <v>248</v>
      </c>
      <c r="F75" s="3331">
        <v>234</v>
      </c>
      <c r="G75" s="3331">
        <v>208</v>
      </c>
      <c r="H75" s="3331">
        <v>139</v>
      </c>
      <c r="I75" s="3331">
        <v>167</v>
      </c>
      <c r="J75" s="3331">
        <v>217</v>
      </c>
      <c r="K75" s="3331">
        <v>310</v>
      </c>
      <c r="L75" s="3331">
        <v>201</v>
      </c>
      <c r="M75" s="3331">
        <v>197</v>
      </c>
      <c r="N75" s="3331">
        <v>288</v>
      </c>
      <c r="O75" s="3332">
        <v>260</v>
      </c>
      <c r="P75" s="3333">
        <v>271</v>
      </c>
      <c r="Q75" s="3334">
        <v>459</v>
      </c>
      <c r="R75" s="3334">
        <v>298</v>
      </c>
      <c r="S75" s="3334">
        <v>187</v>
      </c>
      <c r="T75" s="3334">
        <v>206</v>
      </c>
      <c r="U75" s="3334">
        <v>261</v>
      </c>
      <c r="V75" s="3334">
        <v>251</v>
      </c>
      <c r="W75" s="3334">
        <v>413</v>
      </c>
      <c r="X75" s="3334">
        <v>500</v>
      </c>
      <c r="Y75" s="3334">
        <v>268</v>
      </c>
      <c r="Z75" s="3334">
        <v>279</v>
      </c>
      <c r="AA75" s="3335">
        <v>284</v>
      </c>
      <c r="AB75" s="3336">
        <v>231</v>
      </c>
      <c r="AC75" s="3337">
        <v>272</v>
      </c>
      <c r="AD75" s="3337">
        <v>309</v>
      </c>
      <c r="AE75" s="3337">
        <v>217</v>
      </c>
      <c r="AF75" s="3337">
        <v>201.5</v>
      </c>
      <c r="AG75" s="3337">
        <v>186</v>
      </c>
      <c r="AH75" s="3337">
        <v>319</v>
      </c>
      <c r="AI75" s="3337">
        <v>287</v>
      </c>
      <c r="AJ75" s="3337">
        <v>355</v>
      </c>
      <c r="AK75" s="3337">
        <v>237</v>
      </c>
      <c r="AL75" s="3337">
        <v>212</v>
      </c>
      <c r="AM75" s="3338">
        <v>284</v>
      </c>
      <c r="AN75" s="3339">
        <v>214</v>
      </c>
      <c r="AO75" s="3340">
        <v>229</v>
      </c>
      <c r="AP75" s="3340">
        <v>253</v>
      </c>
      <c r="AQ75" s="3340">
        <v>222</v>
      </c>
      <c r="AR75" s="3340">
        <v>206</v>
      </c>
      <c r="AS75" s="3340">
        <v>292</v>
      </c>
      <c r="AT75" s="3340">
        <v>267</v>
      </c>
      <c r="AU75" s="3340">
        <v>293</v>
      </c>
      <c r="AV75" s="3340">
        <v>423</v>
      </c>
      <c r="AW75" s="3340">
        <v>147</v>
      </c>
      <c r="AX75" s="3340">
        <v>234</v>
      </c>
      <c r="AY75" s="3341">
        <v>268</v>
      </c>
      <c r="AZ75" s="3277">
        <v>162</v>
      </c>
      <c r="BA75" s="3277">
        <v>261</v>
      </c>
      <c r="BB75" s="3277">
        <v>238</v>
      </c>
      <c r="BC75" s="3277">
        <v>206</v>
      </c>
      <c r="BD75" s="3277">
        <v>181</v>
      </c>
      <c r="BE75" s="3277">
        <v>178</v>
      </c>
      <c r="BF75" s="3277">
        <v>207</v>
      </c>
      <c r="BG75" s="3277">
        <v>327</v>
      </c>
      <c r="BH75" s="3277">
        <v>363</v>
      </c>
      <c r="BI75" s="3277">
        <v>308</v>
      </c>
      <c r="BJ75" s="3277">
        <v>257</v>
      </c>
      <c r="BK75" s="3374">
        <v>318</v>
      </c>
      <c r="BL75" s="3344">
        <v>174</v>
      </c>
      <c r="BM75" s="3345">
        <v>210</v>
      </c>
      <c r="BN75" s="3345">
        <v>273</v>
      </c>
      <c r="BO75" s="3345">
        <v>245</v>
      </c>
      <c r="BP75" s="3345">
        <v>198</v>
      </c>
      <c r="BQ75" s="3345">
        <v>263</v>
      </c>
      <c r="BR75" s="3345">
        <v>300</v>
      </c>
      <c r="BS75" s="3345">
        <v>322</v>
      </c>
      <c r="BT75" s="3346">
        <v>392</v>
      </c>
      <c r="BU75" s="3346">
        <v>304</v>
      </c>
      <c r="BV75" s="3346">
        <v>226</v>
      </c>
      <c r="BW75" s="3347">
        <v>380</v>
      </c>
      <c r="BX75" s="3348">
        <v>246</v>
      </c>
      <c r="BY75" s="3273">
        <v>230</v>
      </c>
      <c r="BZ75" s="3273">
        <v>250</v>
      </c>
      <c r="CA75" s="3273">
        <v>268</v>
      </c>
      <c r="CB75" s="3273">
        <v>172</v>
      </c>
      <c r="CC75" s="3273">
        <v>227</v>
      </c>
      <c r="CD75" s="3273">
        <v>231</v>
      </c>
      <c r="CE75" s="3273">
        <v>305</v>
      </c>
      <c r="CF75" s="3273">
        <v>386</v>
      </c>
      <c r="CG75" s="3273">
        <v>233</v>
      </c>
      <c r="CH75" s="3273">
        <v>295</v>
      </c>
      <c r="CI75" s="3275">
        <v>399</v>
      </c>
      <c r="CJ75" s="3349">
        <v>275</v>
      </c>
      <c r="CK75" s="3350">
        <v>249</v>
      </c>
      <c r="CL75" s="3350">
        <v>305</v>
      </c>
      <c r="CM75" s="3350">
        <v>246</v>
      </c>
      <c r="CN75" s="3350">
        <v>181</v>
      </c>
      <c r="CO75" s="3350">
        <v>184</v>
      </c>
      <c r="CP75" s="3350">
        <v>215</v>
      </c>
      <c r="CQ75" s="3350">
        <v>314</v>
      </c>
      <c r="CR75" s="3350">
        <v>322</v>
      </c>
      <c r="CS75" s="3350">
        <v>214</v>
      </c>
      <c r="CT75" s="3350">
        <v>237</v>
      </c>
      <c r="CU75" s="3351">
        <v>326</v>
      </c>
      <c r="CV75" s="3349">
        <v>273</v>
      </c>
      <c r="CW75" s="3350">
        <v>301</v>
      </c>
      <c r="CX75" s="3272">
        <v>306</v>
      </c>
      <c r="CY75" s="3272">
        <v>203</v>
      </c>
      <c r="CZ75" s="3272">
        <v>196</v>
      </c>
      <c r="DA75" s="3272">
        <v>197</v>
      </c>
      <c r="DB75" s="3272">
        <v>197</v>
      </c>
      <c r="DC75" s="3272">
        <v>250</v>
      </c>
      <c r="DD75" s="3272">
        <v>472</v>
      </c>
      <c r="DE75" s="3272">
        <v>190</v>
      </c>
      <c r="DF75" s="3272">
        <v>234</v>
      </c>
      <c r="DG75" s="3351">
        <v>286</v>
      </c>
      <c r="DH75" s="3352">
        <v>237</v>
      </c>
      <c r="DI75" s="3353">
        <v>251</v>
      </c>
      <c r="DJ75" s="3353">
        <v>266</v>
      </c>
      <c r="DK75" s="3354">
        <v>190</v>
      </c>
      <c r="DL75" s="3354">
        <v>172</v>
      </c>
      <c r="DM75" s="3354">
        <v>158</v>
      </c>
      <c r="DN75" s="3354">
        <v>217</v>
      </c>
      <c r="DO75" s="3354">
        <v>207</v>
      </c>
      <c r="DP75" s="2556">
        <v>258</v>
      </c>
      <c r="DQ75" s="3354">
        <v>294</v>
      </c>
      <c r="DR75" s="3354">
        <v>242</v>
      </c>
      <c r="DS75" s="3355">
        <v>290</v>
      </c>
      <c r="DT75" s="3356">
        <v>219</v>
      </c>
      <c r="DU75" s="3243">
        <v>224</v>
      </c>
      <c r="DV75" s="3243">
        <v>359</v>
      </c>
      <c r="DW75" s="3164">
        <v>236</v>
      </c>
      <c r="DX75" s="3164">
        <v>164</v>
      </c>
      <c r="DY75" s="3164">
        <v>225</v>
      </c>
      <c r="DZ75" s="3164">
        <v>222</v>
      </c>
      <c r="EA75" s="3164">
        <v>330</v>
      </c>
      <c r="EB75" s="3164">
        <v>234</v>
      </c>
      <c r="EC75" s="3164">
        <v>240</v>
      </c>
      <c r="ED75" s="3164">
        <v>328</v>
      </c>
      <c r="EE75" s="3163">
        <v>327</v>
      </c>
      <c r="EF75" s="2532">
        <v>253</v>
      </c>
      <c r="EG75" s="2531">
        <v>276</v>
      </c>
      <c r="EH75" s="2531">
        <v>394</v>
      </c>
      <c r="EI75" s="2531">
        <v>291</v>
      </c>
      <c r="EJ75" s="2531">
        <v>230</v>
      </c>
      <c r="EK75" s="2531">
        <v>294</v>
      </c>
      <c r="EL75" s="2531">
        <v>286</v>
      </c>
      <c r="EM75" s="2557">
        <v>421</v>
      </c>
      <c r="EN75" s="2557">
        <v>364</v>
      </c>
      <c r="EO75" s="2558">
        <v>252</v>
      </c>
      <c r="EP75" s="2558">
        <v>303</v>
      </c>
      <c r="EQ75" s="2559">
        <v>333</v>
      </c>
      <c r="ER75" s="1323">
        <v>227</v>
      </c>
      <c r="ES75" s="3357">
        <v>338</v>
      </c>
      <c r="ET75" s="3357">
        <v>267</v>
      </c>
      <c r="EU75" s="2560">
        <v>344</v>
      </c>
      <c r="EV75" s="2107">
        <v>221</v>
      </c>
      <c r="EW75" s="2107">
        <v>258</v>
      </c>
      <c r="EX75" s="2107">
        <v>289</v>
      </c>
      <c r="EY75" s="2107">
        <v>311</v>
      </c>
      <c r="EZ75" s="2107">
        <v>403</v>
      </c>
      <c r="FA75" s="2274">
        <v>155</v>
      </c>
      <c r="FB75" s="2274">
        <v>261</v>
      </c>
      <c r="FC75" s="2274">
        <v>324</v>
      </c>
      <c r="FD75" s="2608">
        <v>334</v>
      </c>
      <c r="FE75" s="2609">
        <v>327</v>
      </c>
      <c r="FF75" s="2609">
        <v>121</v>
      </c>
      <c r="FG75" s="2609"/>
      <c r="FH75" s="2609"/>
      <c r="FI75" s="2609">
        <v>4</v>
      </c>
      <c r="FJ75" s="2609">
        <v>4</v>
      </c>
      <c r="FK75" s="2609">
        <v>5</v>
      </c>
      <c r="FL75" s="2609">
        <v>7</v>
      </c>
      <c r="FM75" s="2609">
        <v>15</v>
      </c>
      <c r="FN75" s="2609">
        <v>16</v>
      </c>
      <c r="FO75" s="2610">
        <v>29</v>
      </c>
      <c r="FP75" s="2608">
        <v>21</v>
      </c>
      <c r="FQ75" s="2609">
        <v>12</v>
      </c>
      <c r="FR75" s="2609">
        <v>11</v>
      </c>
      <c r="FS75" s="2609">
        <v>15</v>
      </c>
      <c r="FT75" s="2609">
        <v>9</v>
      </c>
      <c r="FU75" s="2609"/>
      <c r="FV75" s="2609"/>
      <c r="FW75" s="2609"/>
      <c r="FX75" s="2609"/>
      <c r="FY75" s="2609"/>
      <c r="FZ75" s="2609"/>
      <c r="GA75" s="2614"/>
      <c r="GB75" s="2607"/>
      <c r="GC75" s="2754">
        <v>646</v>
      </c>
      <c r="GD75" s="2755">
        <v>514</v>
      </c>
      <c r="GE75" s="2755">
        <v>728</v>
      </c>
      <c r="GF75" s="2756">
        <v>745</v>
      </c>
      <c r="GG75" s="2757">
        <v>1028</v>
      </c>
      <c r="GH75" s="2758">
        <v>654</v>
      </c>
      <c r="GI75" s="2758">
        <v>1164</v>
      </c>
      <c r="GJ75" s="2759">
        <v>831</v>
      </c>
      <c r="GK75" s="2760">
        <v>812</v>
      </c>
      <c r="GL75" s="2761">
        <v>604.5</v>
      </c>
      <c r="GM75" s="2762">
        <v>961</v>
      </c>
      <c r="GN75" s="2762">
        <v>733</v>
      </c>
      <c r="GO75" s="2763">
        <v>696</v>
      </c>
      <c r="GP75" s="2764">
        <v>720</v>
      </c>
      <c r="GQ75" s="2764">
        <v>983</v>
      </c>
      <c r="GR75" s="2765">
        <v>649</v>
      </c>
      <c r="GS75" s="2766">
        <v>661</v>
      </c>
      <c r="GT75" s="2767">
        <v>565</v>
      </c>
      <c r="GU75" s="2767">
        <v>897</v>
      </c>
      <c r="GV75" s="2768">
        <v>883</v>
      </c>
      <c r="GW75" s="2764">
        <v>657</v>
      </c>
      <c r="GX75" s="2764">
        <v>706</v>
      </c>
      <c r="GY75" s="2764">
        <v>1014</v>
      </c>
      <c r="GZ75" s="2764">
        <v>910</v>
      </c>
      <c r="HA75" s="2769">
        <v>726</v>
      </c>
      <c r="HB75" s="2769">
        <v>667</v>
      </c>
      <c r="HC75" s="2769">
        <v>922</v>
      </c>
      <c r="HD75" s="2769">
        <v>927</v>
      </c>
      <c r="HE75" s="2770">
        <v>829</v>
      </c>
      <c r="HF75" s="2770">
        <v>611</v>
      </c>
      <c r="HG75" s="2770">
        <f t="shared" si="17"/>
        <v>851</v>
      </c>
      <c r="HH75" s="2770">
        <v>777</v>
      </c>
      <c r="HI75" s="2771">
        <v>880</v>
      </c>
      <c r="HJ75" s="2771">
        <f t="shared" si="18"/>
        <v>596</v>
      </c>
      <c r="HK75" s="2771">
        <f t="shared" si="19"/>
        <v>919</v>
      </c>
      <c r="HL75" s="2770">
        <f t="shared" si="20"/>
        <v>710</v>
      </c>
      <c r="HM75" s="2689">
        <f t="shared" si="21"/>
        <v>754</v>
      </c>
      <c r="HN75" s="2689">
        <f t="shared" si="22"/>
        <v>520</v>
      </c>
      <c r="HO75" s="2689">
        <f t="shared" si="23"/>
        <v>714</v>
      </c>
      <c r="HP75" s="2689">
        <f t="shared" si="24"/>
        <v>826</v>
      </c>
      <c r="HQ75" s="2764">
        <f t="shared" si="25"/>
        <v>802</v>
      </c>
      <c r="HR75" s="2764">
        <f t="shared" si="26"/>
        <v>625</v>
      </c>
      <c r="HS75" s="2764">
        <f t="shared" si="27"/>
        <v>786</v>
      </c>
      <c r="HT75" s="2764">
        <f t="shared" si="28"/>
        <v>895</v>
      </c>
      <c r="HU75" s="2772">
        <f t="shared" si="29"/>
        <v>923</v>
      </c>
      <c r="HV75" s="2769">
        <f t="shared" si="30"/>
        <v>815</v>
      </c>
      <c r="HW75" s="2769">
        <f t="shared" si="31"/>
        <v>1071</v>
      </c>
      <c r="HX75" s="2769">
        <f t="shared" si="32"/>
        <v>888</v>
      </c>
      <c r="HY75" s="2773">
        <f t="shared" si="33"/>
        <v>832</v>
      </c>
      <c r="HZ75" s="2774">
        <f t="shared" si="34"/>
        <v>823</v>
      </c>
      <c r="IA75" s="2774">
        <f t="shared" si="35"/>
        <v>1003</v>
      </c>
      <c r="IB75" s="2774">
        <f t="shared" si="36"/>
        <v>740</v>
      </c>
      <c r="IC75" s="2775">
        <f t="shared" si="65"/>
        <v>782</v>
      </c>
      <c r="ID75" s="2776">
        <f t="shared" si="66"/>
        <v>4</v>
      </c>
      <c r="IE75" s="2776">
        <f t="shared" si="67"/>
        <v>16</v>
      </c>
      <c r="IF75" s="2777">
        <f t="shared" si="68"/>
        <v>60</v>
      </c>
      <c r="IG75" s="2772">
        <f t="shared" si="51"/>
        <v>44</v>
      </c>
      <c r="IH75" s="2769">
        <f t="shared" si="52"/>
        <v>24</v>
      </c>
      <c r="II75" s="2769">
        <f t="shared" si="53"/>
        <v>0</v>
      </c>
      <c r="IJ75" s="2769">
        <f t="shared" si="54"/>
        <v>0</v>
      </c>
      <c r="IK75" s="2578"/>
      <c r="IL75" s="3358">
        <v>2633</v>
      </c>
      <c r="IM75" s="3359">
        <v>3677</v>
      </c>
      <c r="IN75" s="3359">
        <v>3110.5</v>
      </c>
      <c r="IO75" s="3359">
        <v>3048</v>
      </c>
      <c r="IP75" s="3359">
        <v>3006</v>
      </c>
      <c r="IQ75" s="3359">
        <v>3287</v>
      </c>
      <c r="IR75" s="3360">
        <v>3242</v>
      </c>
      <c r="IS75" s="3361">
        <v>3068</v>
      </c>
      <c r="IT75" s="3361">
        <f t="shared" si="37"/>
        <v>3105</v>
      </c>
      <c r="IU75" s="3361">
        <f t="shared" si="38"/>
        <v>2782</v>
      </c>
      <c r="IV75" s="3361">
        <f t="shared" si="39"/>
        <v>3108</v>
      </c>
      <c r="IW75" s="3361">
        <f t="shared" si="40"/>
        <v>3697</v>
      </c>
      <c r="IX75" s="3362">
        <f t="shared" si="55"/>
        <v>3398</v>
      </c>
      <c r="IY75" s="3380">
        <f t="shared" si="69"/>
        <v>862</v>
      </c>
      <c r="IZ75" s="3378">
        <f t="shared" si="57"/>
        <v>234</v>
      </c>
      <c r="JA75" s="3579">
        <f t="shared" si="58"/>
        <v>68</v>
      </c>
      <c r="JC75" s="3365">
        <f t="shared" si="59"/>
        <v>548</v>
      </c>
      <c r="JD75" s="3366">
        <f t="shared" si="42"/>
        <v>4.4325760883073681E-3</v>
      </c>
      <c r="JE75" s="3366">
        <f t="shared" si="43"/>
        <v>4.7600741885436594E-3</v>
      </c>
      <c r="JF75" s="3366">
        <f t="shared" si="60"/>
        <v>5.4018907348149445E-3</v>
      </c>
      <c r="JG75" s="3366">
        <f t="shared" si="56"/>
        <v>4.9650053332164412E-3</v>
      </c>
      <c r="JH75" s="3366">
        <f t="shared" si="61"/>
        <v>4.5269067362682953E-3</v>
      </c>
      <c r="JI75" s="3379">
        <f t="shared" si="62"/>
        <v>8.32752067645091E-4</v>
      </c>
      <c r="JJ75" s="3366"/>
      <c r="JK75" s="3368">
        <f t="shared" si="44"/>
        <v>0.11718188353702375</v>
      </c>
      <c r="JL75" s="3369">
        <f t="shared" si="45"/>
        <v>-0.80301941049604597</v>
      </c>
      <c r="JM75" s="3369">
        <f t="shared" si="46"/>
        <v>0.18951093951093956</v>
      </c>
      <c r="JN75" s="3369">
        <f t="shared" si="46"/>
        <v>-8.0876386259129074E-2</v>
      </c>
      <c r="JO75" s="3369">
        <f t="shared" si="46"/>
        <v>-0.74632136550912298</v>
      </c>
      <c r="JP75" s="3370">
        <f t="shared" si="63"/>
        <v>-0.93113596233078277</v>
      </c>
      <c r="JQ75" s="3371">
        <f t="shared" si="64"/>
        <v>-0.72853828306264501</v>
      </c>
      <c r="JS75" s="3045"/>
      <c r="JT75" s="3045"/>
      <c r="JU75" s="3045"/>
      <c r="JV75" s="3045"/>
      <c r="JW75" s="3045"/>
      <c r="JX75" s="3045"/>
      <c r="JY75" s="3045"/>
      <c r="JZ75" s="3045"/>
      <c r="KA75" s="3045"/>
      <c r="KB75" s="3045"/>
      <c r="KC75" s="3045"/>
      <c r="KD75" s="3045"/>
      <c r="KE75" s="3045"/>
      <c r="KF75" s="3045"/>
      <c r="KG75" s="3045"/>
      <c r="KH75" s="3045"/>
      <c r="KI75" s="3045"/>
      <c r="KJ75" s="3045"/>
      <c r="KK75" s="3045"/>
      <c r="KL75" s="3045"/>
      <c r="KM75" s="3045"/>
      <c r="KN75" s="3045"/>
      <c r="KO75" s="3045"/>
    </row>
    <row r="76" spans="1:301" ht="21.9" customHeight="1">
      <c r="A76" s="3382"/>
      <c r="B76" s="3045"/>
      <c r="C76" s="3381" t="s">
        <v>19</v>
      </c>
      <c r="D76" s="3330">
        <v>106</v>
      </c>
      <c r="E76" s="3331">
        <v>77</v>
      </c>
      <c r="F76" s="3331">
        <v>164</v>
      </c>
      <c r="G76" s="3331">
        <v>124</v>
      </c>
      <c r="H76" s="3331">
        <v>101</v>
      </c>
      <c r="I76" s="3331">
        <v>151</v>
      </c>
      <c r="J76" s="3331">
        <v>131</v>
      </c>
      <c r="K76" s="3331">
        <v>168</v>
      </c>
      <c r="L76" s="3331">
        <v>204</v>
      </c>
      <c r="M76" s="3331">
        <v>300</v>
      </c>
      <c r="N76" s="3331">
        <v>233</v>
      </c>
      <c r="O76" s="3332">
        <v>211</v>
      </c>
      <c r="P76" s="3333">
        <v>300</v>
      </c>
      <c r="Q76" s="3334">
        <v>404</v>
      </c>
      <c r="R76" s="3334">
        <v>290</v>
      </c>
      <c r="S76" s="3334">
        <v>346</v>
      </c>
      <c r="T76" s="3334">
        <v>350</v>
      </c>
      <c r="U76" s="3334">
        <v>372</v>
      </c>
      <c r="V76" s="3334">
        <v>536</v>
      </c>
      <c r="W76" s="3334">
        <v>619</v>
      </c>
      <c r="X76" s="3334">
        <v>611</v>
      </c>
      <c r="Y76" s="3334">
        <v>684</v>
      </c>
      <c r="Z76" s="3334">
        <v>721</v>
      </c>
      <c r="AA76" s="3335">
        <v>903</v>
      </c>
      <c r="AB76" s="3336">
        <v>1157</v>
      </c>
      <c r="AC76" s="3337">
        <v>1112</v>
      </c>
      <c r="AD76" s="3337">
        <v>1391</v>
      </c>
      <c r="AE76" s="3337">
        <v>1532</v>
      </c>
      <c r="AF76" s="3337">
        <v>1541.5</v>
      </c>
      <c r="AG76" s="3337">
        <v>1551</v>
      </c>
      <c r="AH76" s="3337">
        <v>1371</v>
      </c>
      <c r="AI76" s="3337">
        <v>1483</v>
      </c>
      <c r="AJ76" s="3337">
        <v>1483</v>
      </c>
      <c r="AK76" s="3337">
        <v>1483</v>
      </c>
      <c r="AL76" s="3337">
        <v>1508</v>
      </c>
      <c r="AM76" s="3338">
        <v>1112</v>
      </c>
      <c r="AN76" s="3339">
        <v>1670</v>
      </c>
      <c r="AO76" s="3340">
        <v>1244</v>
      </c>
      <c r="AP76" s="3340">
        <v>1508</v>
      </c>
      <c r="AQ76" s="3340">
        <v>1345</v>
      </c>
      <c r="AR76" s="3340">
        <v>1092</v>
      </c>
      <c r="AS76" s="3340">
        <v>1109</v>
      </c>
      <c r="AT76" s="3340">
        <v>891</v>
      </c>
      <c r="AU76" s="3340">
        <v>1140</v>
      </c>
      <c r="AV76" s="3340">
        <v>997</v>
      </c>
      <c r="AW76" s="3340">
        <v>1311</v>
      </c>
      <c r="AX76" s="3340">
        <v>1203</v>
      </c>
      <c r="AY76" s="3341">
        <v>960</v>
      </c>
      <c r="AZ76" s="3277">
        <v>992</v>
      </c>
      <c r="BA76" s="3277">
        <v>732</v>
      </c>
      <c r="BB76" s="3277">
        <v>978</v>
      </c>
      <c r="BC76" s="3277">
        <v>817</v>
      </c>
      <c r="BD76" s="3277">
        <v>838</v>
      </c>
      <c r="BE76" s="3277">
        <v>887</v>
      </c>
      <c r="BF76" s="3277">
        <v>692</v>
      </c>
      <c r="BG76" s="3277">
        <v>892</v>
      </c>
      <c r="BH76" s="3277">
        <v>731</v>
      </c>
      <c r="BI76" s="3277">
        <v>750</v>
      </c>
      <c r="BJ76" s="3277">
        <v>871</v>
      </c>
      <c r="BK76" s="3374">
        <v>710</v>
      </c>
      <c r="BL76" s="3344">
        <v>499</v>
      </c>
      <c r="BM76" s="3345">
        <v>499</v>
      </c>
      <c r="BN76" s="3345">
        <v>547</v>
      </c>
      <c r="BO76" s="3345">
        <v>895</v>
      </c>
      <c r="BP76" s="3345">
        <v>771</v>
      </c>
      <c r="BQ76" s="3345">
        <v>1058</v>
      </c>
      <c r="BR76" s="3345">
        <v>888</v>
      </c>
      <c r="BS76" s="3345">
        <v>976</v>
      </c>
      <c r="BT76" s="3346">
        <v>831</v>
      </c>
      <c r="BU76" s="3346">
        <v>1039</v>
      </c>
      <c r="BV76" s="3346">
        <v>1026</v>
      </c>
      <c r="BW76" s="3347">
        <v>1042</v>
      </c>
      <c r="BX76" s="3348">
        <v>750</v>
      </c>
      <c r="BY76" s="3273">
        <v>510</v>
      </c>
      <c r="BZ76" s="3273">
        <v>450</v>
      </c>
      <c r="CA76" s="3273">
        <v>871</v>
      </c>
      <c r="CB76" s="3273">
        <v>931</v>
      </c>
      <c r="CC76" s="3273">
        <v>942</v>
      </c>
      <c r="CD76" s="3273">
        <v>982</v>
      </c>
      <c r="CE76" s="3273">
        <v>1290</v>
      </c>
      <c r="CF76" s="3273">
        <v>1267</v>
      </c>
      <c r="CG76" s="3273">
        <v>1309</v>
      </c>
      <c r="CH76" s="3273">
        <v>1575</v>
      </c>
      <c r="CI76" s="3275">
        <v>1856</v>
      </c>
      <c r="CJ76" s="3349">
        <v>893</v>
      </c>
      <c r="CK76" s="3350">
        <v>801</v>
      </c>
      <c r="CL76" s="3350">
        <v>871</v>
      </c>
      <c r="CM76" s="3350">
        <v>1883</v>
      </c>
      <c r="CN76" s="3350">
        <v>2034</v>
      </c>
      <c r="CO76" s="3350">
        <v>2126</v>
      </c>
      <c r="CP76" s="3350">
        <v>2458</v>
      </c>
      <c r="CQ76" s="3350">
        <v>2398</v>
      </c>
      <c r="CR76" s="3350">
        <v>2644</v>
      </c>
      <c r="CS76" s="3350">
        <v>3590</v>
      </c>
      <c r="CT76" s="3350">
        <v>3991</v>
      </c>
      <c r="CU76" s="3351">
        <v>4790</v>
      </c>
      <c r="CV76" s="3349">
        <v>3360</v>
      </c>
      <c r="CW76" s="3350">
        <v>3179</v>
      </c>
      <c r="CX76" s="3272">
        <v>4515</v>
      </c>
      <c r="CY76" s="3272">
        <v>4321</v>
      </c>
      <c r="CZ76" s="3272">
        <v>4182</v>
      </c>
      <c r="DA76" s="3272">
        <v>4631</v>
      </c>
      <c r="DB76" s="3272">
        <v>4067</v>
      </c>
      <c r="DC76" s="3272">
        <v>3726</v>
      </c>
      <c r="DD76" s="3272">
        <v>5741</v>
      </c>
      <c r="DE76" s="3272">
        <v>5804</v>
      </c>
      <c r="DF76" s="3272">
        <v>9307</v>
      </c>
      <c r="DG76" s="3351">
        <v>5009</v>
      </c>
      <c r="DH76" s="3352">
        <v>1225</v>
      </c>
      <c r="DI76" s="3353">
        <v>2019</v>
      </c>
      <c r="DJ76" s="3353">
        <v>907</v>
      </c>
      <c r="DK76" s="3354">
        <v>278</v>
      </c>
      <c r="DL76" s="3354">
        <v>325</v>
      </c>
      <c r="DM76" s="3354">
        <v>306</v>
      </c>
      <c r="DN76" s="3354">
        <v>246</v>
      </c>
      <c r="DO76" s="3354">
        <v>246</v>
      </c>
      <c r="DP76" s="2556">
        <v>765</v>
      </c>
      <c r="DQ76" s="3354">
        <v>506</v>
      </c>
      <c r="DR76" s="3354">
        <v>429</v>
      </c>
      <c r="DS76" s="3355">
        <v>379</v>
      </c>
      <c r="DT76" s="3356">
        <v>338</v>
      </c>
      <c r="DU76" s="3243">
        <v>315</v>
      </c>
      <c r="DV76" s="3243">
        <v>296</v>
      </c>
      <c r="DW76" s="3164">
        <v>264</v>
      </c>
      <c r="DX76" s="3164">
        <v>350</v>
      </c>
      <c r="DY76" s="3164">
        <v>296</v>
      </c>
      <c r="DZ76" s="3164">
        <v>339</v>
      </c>
      <c r="EA76" s="3164">
        <v>273</v>
      </c>
      <c r="EB76" s="3164">
        <v>322</v>
      </c>
      <c r="EC76" s="3164">
        <v>328</v>
      </c>
      <c r="ED76" s="3164">
        <v>362</v>
      </c>
      <c r="EE76" s="3163">
        <v>330</v>
      </c>
      <c r="EF76" s="2532">
        <v>267</v>
      </c>
      <c r="EG76" s="2531">
        <v>279</v>
      </c>
      <c r="EH76" s="2531">
        <v>283</v>
      </c>
      <c r="EI76" s="2531">
        <v>288</v>
      </c>
      <c r="EJ76" s="2531">
        <v>317</v>
      </c>
      <c r="EK76" s="2531">
        <v>290</v>
      </c>
      <c r="EL76" s="2531">
        <v>325</v>
      </c>
      <c r="EM76" s="2557">
        <v>300</v>
      </c>
      <c r="EN76" s="2557">
        <v>287</v>
      </c>
      <c r="EO76" s="2558">
        <v>320</v>
      </c>
      <c r="EP76" s="2558">
        <v>345</v>
      </c>
      <c r="EQ76" s="2559">
        <v>273</v>
      </c>
      <c r="ER76" s="1323">
        <v>305</v>
      </c>
      <c r="ES76" s="3357">
        <v>219</v>
      </c>
      <c r="ET76" s="3357">
        <v>261</v>
      </c>
      <c r="EU76" s="2560">
        <v>226</v>
      </c>
      <c r="EV76" s="2107">
        <v>800</v>
      </c>
      <c r="EW76" s="2107">
        <v>686</v>
      </c>
      <c r="EX76" s="2107">
        <v>764</v>
      </c>
      <c r="EY76" s="2107">
        <v>1134</v>
      </c>
      <c r="EZ76" s="2107">
        <v>1157</v>
      </c>
      <c r="FA76" s="2275">
        <v>725</v>
      </c>
      <c r="FB76" s="2275">
        <v>701</v>
      </c>
      <c r="FC76" s="2275">
        <v>596</v>
      </c>
      <c r="FD76" s="2615">
        <v>1012</v>
      </c>
      <c r="FE76" s="2616">
        <v>617</v>
      </c>
      <c r="FF76" s="2616">
        <v>416</v>
      </c>
      <c r="FG76" s="2616">
        <v>2</v>
      </c>
      <c r="FH76" s="2616">
        <v>97</v>
      </c>
      <c r="FI76" s="2616">
        <v>140</v>
      </c>
      <c r="FJ76" s="2616">
        <v>9</v>
      </c>
      <c r="FK76" s="2616">
        <v>130</v>
      </c>
      <c r="FL76" s="2616">
        <v>66</v>
      </c>
      <c r="FM76" s="2616">
        <v>16</v>
      </c>
      <c r="FN76" s="2616">
        <v>126</v>
      </c>
      <c r="FO76" s="2617">
        <v>371</v>
      </c>
      <c r="FP76" s="2615">
        <v>452</v>
      </c>
      <c r="FQ76" s="2616">
        <v>133</v>
      </c>
      <c r="FR76" s="2616">
        <v>87</v>
      </c>
      <c r="FS76" s="2616">
        <v>231</v>
      </c>
      <c r="FT76" s="2616">
        <v>86</v>
      </c>
      <c r="FU76" s="2616"/>
      <c r="FV76" s="2616"/>
      <c r="FW76" s="2616"/>
      <c r="FX76" s="2616"/>
      <c r="FY76" s="2616"/>
      <c r="FZ76" s="2616"/>
      <c r="GA76" s="2618"/>
      <c r="GB76" s="2607"/>
      <c r="GC76" s="2754">
        <v>347</v>
      </c>
      <c r="GD76" s="2755">
        <v>376</v>
      </c>
      <c r="GE76" s="2755">
        <v>503</v>
      </c>
      <c r="GF76" s="2756">
        <v>744</v>
      </c>
      <c r="GG76" s="2757">
        <v>994</v>
      </c>
      <c r="GH76" s="2758">
        <v>1068</v>
      </c>
      <c r="GI76" s="2758">
        <v>1766</v>
      </c>
      <c r="GJ76" s="2759">
        <v>2308</v>
      </c>
      <c r="GK76" s="2760">
        <v>3660</v>
      </c>
      <c r="GL76" s="2761">
        <v>4624.5</v>
      </c>
      <c r="GM76" s="2762">
        <v>4337</v>
      </c>
      <c r="GN76" s="2762">
        <v>4103</v>
      </c>
      <c r="GO76" s="2763">
        <v>4422</v>
      </c>
      <c r="GP76" s="2764">
        <v>3546</v>
      </c>
      <c r="GQ76" s="2764">
        <v>3028</v>
      </c>
      <c r="GR76" s="2765">
        <v>3474</v>
      </c>
      <c r="GS76" s="2766">
        <v>2702</v>
      </c>
      <c r="GT76" s="2767">
        <v>2542</v>
      </c>
      <c r="GU76" s="2767">
        <v>2315</v>
      </c>
      <c r="GV76" s="2768">
        <v>2331</v>
      </c>
      <c r="GW76" s="2764">
        <v>1545</v>
      </c>
      <c r="GX76" s="2764">
        <v>2724</v>
      </c>
      <c r="GY76" s="2764">
        <v>2695</v>
      </c>
      <c r="GZ76" s="2764">
        <v>3107</v>
      </c>
      <c r="HA76" s="2769">
        <v>1710</v>
      </c>
      <c r="HB76" s="2769">
        <v>2744</v>
      </c>
      <c r="HC76" s="2769">
        <v>3539</v>
      </c>
      <c r="HD76" s="2769">
        <v>4740</v>
      </c>
      <c r="HE76" s="2770">
        <v>2565</v>
      </c>
      <c r="HF76" s="2770">
        <v>6043</v>
      </c>
      <c r="HG76" s="2770">
        <f t="shared" si="17"/>
        <v>7500</v>
      </c>
      <c r="HH76" s="2770">
        <v>12371</v>
      </c>
      <c r="HI76" s="2771">
        <v>11054</v>
      </c>
      <c r="HJ76" s="2771">
        <f t="shared" si="18"/>
        <v>13134</v>
      </c>
      <c r="HK76" s="2771">
        <f t="shared" si="19"/>
        <v>13534</v>
      </c>
      <c r="HL76" s="2770">
        <f t="shared" si="20"/>
        <v>20120</v>
      </c>
      <c r="HM76" s="2689">
        <f t="shared" si="21"/>
        <v>4151</v>
      </c>
      <c r="HN76" s="2689">
        <f t="shared" si="22"/>
        <v>909</v>
      </c>
      <c r="HO76" s="2689">
        <f t="shared" si="23"/>
        <v>871</v>
      </c>
      <c r="HP76" s="2689">
        <f t="shared" si="24"/>
        <v>1314</v>
      </c>
      <c r="HQ76" s="2764">
        <f t="shared" si="25"/>
        <v>949</v>
      </c>
      <c r="HR76" s="2764">
        <f t="shared" si="26"/>
        <v>910</v>
      </c>
      <c r="HS76" s="2764">
        <f t="shared" si="27"/>
        <v>934</v>
      </c>
      <c r="HT76" s="2764">
        <f t="shared" si="28"/>
        <v>1020</v>
      </c>
      <c r="HU76" s="2772">
        <f t="shared" si="29"/>
        <v>829</v>
      </c>
      <c r="HV76" s="2769">
        <f t="shared" si="30"/>
        <v>895</v>
      </c>
      <c r="HW76" s="2769">
        <f t="shared" si="31"/>
        <v>912</v>
      </c>
      <c r="HX76" s="2769">
        <f t="shared" si="32"/>
        <v>938</v>
      </c>
      <c r="HY76" s="2773">
        <f t="shared" si="33"/>
        <v>785</v>
      </c>
      <c r="HZ76" s="2774">
        <f t="shared" si="34"/>
        <v>1712</v>
      </c>
      <c r="IA76" s="2774">
        <f t="shared" si="35"/>
        <v>3055</v>
      </c>
      <c r="IB76" s="2774">
        <f t="shared" si="36"/>
        <v>2022</v>
      </c>
      <c r="IC76" s="2775">
        <f t="shared" si="65"/>
        <v>2045</v>
      </c>
      <c r="ID76" s="2776">
        <f t="shared" si="66"/>
        <v>239</v>
      </c>
      <c r="IE76" s="2776">
        <f t="shared" si="67"/>
        <v>205</v>
      </c>
      <c r="IF76" s="2777">
        <f t="shared" si="68"/>
        <v>513</v>
      </c>
      <c r="IG76" s="2772">
        <f t="shared" si="51"/>
        <v>672</v>
      </c>
      <c r="IH76" s="2769">
        <f t="shared" si="52"/>
        <v>317</v>
      </c>
      <c r="II76" s="2769">
        <f t="shared" si="53"/>
        <v>0</v>
      </c>
      <c r="IJ76" s="2769">
        <f t="shared" si="54"/>
        <v>0</v>
      </c>
      <c r="IK76" s="2578"/>
      <c r="IL76" s="3358">
        <v>1970</v>
      </c>
      <c r="IM76" s="3359">
        <v>6136</v>
      </c>
      <c r="IN76" s="3359">
        <v>16724.5</v>
      </c>
      <c r="IO76" s="3359">
        <v>14470</v>
      </c>
      <c r="IP76" s="3359">
        <v>9890</v>
      </c>
      <c r="IQ76" s="3359">
        <v>10071</v>
      </c>
      <c r="IR76" s="3360">
        <v>12733</v>
      </c>
      <c r="IS76" s="3361">
        <v>28479</v>
      </c>
      <c r="IT76" s="3361">
        <f t="shared" si="37"/>
        <v>57842</v>
      </c>
      <c r="IU76" s="3361">
        <f t="shared" si="38"/>
        <v>7631</v>
      </c>
      <c r="IV76" s="3361">
        <f t="shared" si="39"/>
        <v>3813</v>
      </c>
      <c r="IW76" s="3361">
        <f t="shared" si="40"/>
        <v>3574</v>
      </c>
      <c r="IX76" s="3362">
        <f t="shared" si="55"/>
        <v>7574</v>
      </c>
      <c r="IY76" s="3380">
        <f t="shared" si="69"/>
        <v>3002</v>
      </c>
      <c r="IZ76" s="3378">
        <f t="shared" si="57"/>
        <v>1958</v>
      </c>
      <c r="JA76" s="3579">
        <f t="shared" si="58"/>
        <v>989</v>
      </c>
      <c r="JC76" s="3365">
        <f t="shared" si="59"/>
        <v>2480</v>
      </c>
      <c r="JD76" s="3366">
        <f t="shared" si="42"/>
        <v>1.215851478428236E-2</v>
      </c>
      <c r="JE76" s="3366">
        <f t="shared" si="43"/>
        <v>5.839820746755783E-3</v>
      </c>
      <c r="JF76" s="3366">
        <f t="shared" si="60"/>
        <v>5.2221686465319479E-3</v>
      </c>
      <c r="JG76" s="3366">
        <f t="shared" si="56"/>
        <v>1.1066789403702567E-2</v>
      </c>
      <c r="JH76" s="3366">
        <f t="shared" si="61"/>
        <v>1.5765399097769632E-2</v>
      </c>
      <c r="JI76" s="3379">
        <f t="shared" si="62"/>
        <v>6.9680707198678986E-3</v>
      </c>
      <c r="JJ76" s="3366"/>
      <c r="JK76" s="3368">
        <f t="shared" si="44"/>
        <v>-0.50032761106014934</v>
      </c>
      <c r="JL76" s="3369">
        <f t="shared" si="45"/>
        <v>-0.67500982833180445</v>
      </c>
      <c r="JM76" s="3369">
        <f t="shared" si="46"/>
        <v>-6.268030422239701E-2</v>
      </c>
      <c r="JN76" s="3369">
        <f t="shared" si="46"/>
        <v>1.119194180190263</v>
      </c>
      <c r="JO76" s="3369">
        <f t="shared" si="46"/>
        <v>-0.60364404541853711</v>
      </c>
      <c r="JP76" s="3370">
        <f t="shared" si="63"/>
        <v>-0.74148402429363613</v>
      </c>
      <c r="JQ76" s="3371">
        <f t="shared" si="64"/>
        <v>-0.3477681545636242</v>
      </c>
      <c r="JS76" s="3045"/>
      <c r="JT76" s="3045"/>
      <c r="JU76" s="3045"/>
      <c r="JV76" s="3045"/>
      <c r="JW76" s="3045"/>
      <c r="JX76" s="3045"/>
      <c r="JY76" s="3045"/>
      <c r="JZ76" s="3045"/>
      <c r="KA76" s="3045"/>
      <c r="KB76" s="3045"/>
      <c r="KC76" s="3045"/>
      <c r="KD76" s="3045"/>
      <c r="KE76" s="3045"/>
      <c r="KF76" s="3045"/>
      <c r="KG76" s="3045"/>
      <c r="KH76" s="3045"/>
      <c r="KI76" s="3045"/>
      <c r="KJ76" s="3045"/>
      <c r="KK76" s="3045"/>
      <c r="KL76" s="3045"/>
      <c r="KM76" s="3045"/>
      <c r="KN76" s="3045"/>
      <c r="KO76" s="3045"/>
    </row>
    <row r="77" spans="1:301" ht="21.9" customHeight="1">
      <c r="A77" s="3382"/>
      <c r="B77" s="3045"/>
      <c r="C77" s="3381" t="s">
        <v>18</v>
      </c>
      <c r="D77" s="3330">
        <v>119</v>
      </c>
      <c r="E77" s="3331">
        <v>130</v>
      </c>
      <c r="F77" s="3331">
        <v>176</v>
      </c>
      <c r="G77" s="3331">
        <v>124</v>
      </c>
      <c r="H77" s="3331">
        <v>123</v>
      </c>
      <c r="I77" s="3331">
        <v>173</v>
      </c>
      <c r="J77" s="3331">
        <v>251</v>
      </c>
      <c r="K77" s="3331">
        <v>216</v>
      </c>
      <c r="L77" s="3331">
        <v>321</v>
      </c>
      <c r="M77" s="3331">
        <v>214</v>
      </c>
      <c r="N77" s="3331">
        <v>244</v>
      </c>
      <c r="O77" s="3332">
        <v>126</v>
      </c>
      <c r="P77" s="3333">
        <v>134</v>
      </c>
      <c r="Q77" s="3334">
        <v>307</v>
      </c>
      <c r="R77" s="3334">
        <v>218</v>
      </c>
      <c r="S77" s="3334">
        <v>255</v>
      </c>
      <c r="T77" s="3334">
        <v>201</v>
      </c>
      <c r="U77" s="3334">
        <v>215</v>
      </c>
      <c r="V77" s="3334">
        <v>187</v>
      </c>
      <c r="W77" s="3334">
        <v>228</v>
      </c>
      <c r="X77" s="3334">
        <v>253</v>
      </c>
      <c r="Y77" s="3334">
        <v>230</v>
      </c>
      <c r="Z77" s="3334">
        <v>279</v>
      </c>
      <c r="AA77" s="3335">
        <v>228</v>
      </c>
      <c r="AB77" s="3336">
        <v>182</v>
      </c>
      <c r="AC77" s="3337">
        <v>186</v>
      </c>
      <c r="AD77" s="3337">
        <v>274</v>
      </c>
      <c r="AE77" s="3337">
        <v>222</v>
      </c>
      <c r="AF77" s="3337">
        <v>220.5</v>
      </c>
      <c r="AG77" s="3337">
        <v>219</v>
      </c>
      <c r="AH77" s="3337">
        <v>220</v>
      </c>
      <c r="AI77" s="3337">
        <v>205</v>
      </c>
      <c r="AJ77" s="3337">
        <v>241</v>
      </c>
      <c r="AK77" s="3337">
        <v>178</v>
      </c>
      <c r="AL77" s="3337">
        <v>253</v>
      </c>
      <c r="AM77" s="3338">
        <v>160</v>
      </c>
      <c r="AN77" s="3339">
        <v>173</v>
      </c>
      <c r="AO77" s="3340">
        <v>480</v>
      </c>
      <c r="AP77" s="3340">
        <v>219</v>
      </c>
      <c r="AQ77" s="3340">
        <v>183</v>
      </c>
      <c r="AR77" s="3340">
        <v>203</v>
      </c>
      <c r="AS77" s="3340">
        <v>202</v>
      </c>
      <c r="AT77" s="3340">
        <v>126</v>
      </c>
      <c r="AU77" s="3340">
        <v>185</v>
      </c>
      <c r="AV77" s="3340">
        <v>172</v>
      </c>
      <c r="AW77" s="3340">
        <v>151</v>
      </c>
      <c r="AX77" s="3340">
        <v>223</v>
      </c>
      <c r="AY77" s="3341">
        <v>172</v>
      </c>
      <c r="AZ77" s="3277">
        <v>173</v>
      </c>
      <c r="BA77" s="3277">
        <v>187</v>
      </c>
      <c r="BB77" s="3277">
        <v>216</v>
      </c>
      <c r="BC77" s="3277">
        <v>138</v>
      </c>
      <c r="BD77" s="3277">
        <v>194</v>
      </c>
      <c r="BE77" s="3277">
        <v>192</v>
      </c>
      <c r="BF77" s="3277">
        <v>186</v>
      </c>
      <c r="BG77" s="3277">
        <v>182</v>
      </c>
      <c r="BH77" s="3277">
        <v>218</v>
      </c>
      <c r="BI77" s="3277">
        <v>222</v>
      </c>
      <c r="BJ77" s="3277">
        <v>219</v>
      </c>
      <c r="BK77" s="3374">
        <v>161</v>
      </c>
      <c r="BL77" s="3344">
        <v>2</v>
      </c>
      <c r="BM77" s="3345">
        <v>148</v>
      </c>
      <c r="BN77" s="3345">
        <v>155</v>
      </c>
      <c r="BO77" s="3345">
        <v>190</v>
      </c>
      <c r="BP77" s="3345">
        <v>221</v>
      </c>
      <c r="BQ77" s="3345">
        <v>224</v>
      </c>
      <c r="BR77" s="3345">
        <v>248</v>
      </c>
      <c r="BS77" s="3345">
        <v>205</v>
      </c>
      <c r="BT77" s="3346">
        <v>314</v>
      </c>
      <c r="BU77" s="3346">
        <v>260</v>
      </c>
      <c r="BV77" s="3346">
        <v>276</v>
      </c>
      <c r="BW77" s="3347">
        <v>182</v>
      </c>
      <c r="BX77" s="3348">
        <v>201</v>
      </c>
      <c r="BY77" s="3273">
        <v>185</v>
      </c>
      <c r="BZ77" s="3273">
        <v>224</v>
      </c>
      <c r="CA77" s="3273">
        <v>156</v>
      </c>
      <c r="CB77" s="3273">
        <v>251</v>
      </c>
      <c r="CC77" s="3273">
        <v>282</v>
      </c>
      <c r="CD77" s="3273">
        <v>325</v>
      </c>
      <c r="CE77" s="3273">
        <v>208</v>
      </c>
      <c r="CF77" s="3273">
        <v>236</v>
      </c>
      <c r="CG77" s="3273">
        <v>227</v>
      </c>
      <c r="CH77" s="3273">
        <v>327</v>
      </c>
      <c r="CI77" s="3275">
        <v>247</v>
      </c>
      <c r="CJ77" s="3349">
        <v>171</v>
      </c>
      <c r="CK77" s="3350">
        <v>189</v>
      </c>
      <c r="CL77" s="3350">
        <v>203</v>
      </c>
      <c r="CM77" s="3350">
        <v>239</v>
      </c>
      <c r="CN77" s="3350">
        <v>239</v>
      </c>
      <c r="CO77" s="3350">
        <v>247</v>
      </c>
      <c r="CP77" s="3350">
        <v>214</v>
      </c>
      <c r="CQ77" s="3350">
        <v>268</v>
      </c>
      <c r="CR77" s="3350">
        <v>318</v>
      </c>
      <c r="CS77" s="3350">
        <v>325</v>
      </c>
      <c r="CT77" s="3350">
        <v>275</v>
      </c>
      <c r="CU77" s="3351">
        <v>267</v>
      </c>
      <c r="CV77" s="3349">
        <v>193</v>
      </c>
      <c r="CW77" s="3350">
        <v>216</v>
      </c>
      <c r="CX77" s="3272">
        <v>209</v>
      </c>
      <c r="CY77" s="3272">
        <v>223</v>
      </c>
      <c r="CZ77" s="3272">
        <v>231</v>
      </c>
      <c r="DA77" s="3272">
        <v>215</v>
      </c>
      <c r="DB77" s="3272">
        <v>241</v>
      </c>
      <c r="DC77" s="3272">
        <v>229</v>
      </c>
      <c r="DD77" s="3272">
        <v>220</v>
      </c>
      <c r="DE77" s="3272">
        <v>313</v>
      </c>
      <c r="DF77" s="3272">
        <v>259</v>
      </c>
      <c r="DG77" s="3351">
        <v>272</v>
      </c>
      <c r="DH77" s="3352">
        <v>208</v>
      </c>
      <c r="DI77" s="3353">
        <v>198</v>
      </c>
      <c r="DJ77" s="3353">
        <v>189</v>
      </c>
      <c r="DK77" s="3354">
        <v>151</v>
      </c>
      <c r="DL77" s="3354">
        <v>162</v>
      </c>
      <c r="DM77" s="3354">
        <v>234</v>
      </c>
      <c r="DN77" s="3354">
        <v>292</v>
      </c>
      <c r="DO77" s="3354">
        <v>183</v>
      </c>
      <c r="DP77" s="2556">
        <v>214</v>
      </c>
      <c r="DQ77" s="3354">
        <v>300</v>
      </c>
      <c r="DR77" s="3354">
        <v>242</v>
      </c>
      <c r="DS77" s="3355">
        <v>325</v>
      </c>
      <c r="DT77" s="3356">
        <v>284</v>
      </c>
      <c r="DU77" s="3243">
        <v>170</v>
      </c>
      <c r="DV77" s="3243">
        <v>251</v>
      </c>
      <c r="DW77" s="3164">
        <v>239</v>
      </c>
      <c r="DX77" s="3164">
        <v>317</v>
      </c>
      <c r="DY77" s="3164">
        <v>264</v>
      </c>
      <c r="DZ77" s="3164">
        <v>306</v>
      </c>
      <c r="EA77" s="3164">
        <v>225</v>
      </c>
      <c r="EB77" s="3164">
        <v>258</v>
      </c>
      <c r="EC77" s="3164">
        <v>212</v>
      </c>
      <c r="ED77" s="3164">
        <v>352</v>
      </c>
      <c r="EE77" s="3163">
        <v>284</v>
      </c>
      <c r="EF77" s="2532">
        <v>267</v>
      </c>
      <c r="EG77" s="2531">
        <v>231</v>
      </c>
      <c r="EH77" s="2531">
        <v>204</v>
      </c>
      <c r="EI77" s="2531">
        <v>179</v>
      </c>
      <c r="EJ77" s="2531">
        <v>219</v>
      </c>
      <c r="EK77" s="2531">
        <v>249</v>
      </c>
      <c r="EL77" s="2531">
        <v>318</v>
      </c>
      <c r="EM77" s="2557">
        <v>205</v>
      </c>
      <c r="EN77" s="2557">
        <v>217</v>
      </c>
      <c r="EO77" s="2558">
        <v>284</v>
      </c>
      <c r="EP77" s="2558">
        <v>356</v>
      </c>
      <c r="EQ77" s="2559">
        <v>311</v>
      </c>
      <c r="ER77" s="1320">
        <v>204</v>
      </c>
      <c r="ES77" s="3357">
        <v>244</v>
      </c>
      <c r="ET77" s="3357">
        <v>216</v>
      </c>
      <c r="EU77" s="2560">
        <v>192</v>
      </c>
      <c r="EV77" s="2104">
        <v>266</v>
      </c>
      <c r="EW77" s="2104">
        <v>294</v>
      </c>
      <c r="EX77" s="2104">
        <v>299</v>
      </c>
      <c r="EY77" s="2104">
        <v>233</v>
      </c>
      <c r="EZ77" s="2104">
        <v>299</v>
      </c>
      <c r="FA77" s="2275">
        <v>341</v>
      </c>
      <c r="FB77" s="2275">
        <v>245</v>
      </c>
      <c r="FC77" s="2275">
        <v>285</v>
      </c>
      <c r="FD77" s="2615">
        <v>254</v>
      </c>
      <c r="FE77" s="2616">
        <v>289</v>
      </c>
      <c r="FF77" s="2616">
        <v>92</v>
      </c>
      <c r="FG77" s="2616">
        <v>1</v>
      </c>
      <c r="FH77" s="2616"/>
      <c r="FI77" s="2616">
        <v>3</v>
      </c>
      <c r="FJ77" s="2616">
        <v>6</v>
      </c>
      <c r="FK77" s="2616">
        <v>5</v>
      </c>
      <c r="FL77" s="2616">
        <v>6</v>
      </c>
      <c r="FM77" s="2616">
        <v>23</v>
      </c>
      <c r="FN77" s="2616">
        <v>41</v>
      </c>
      <c r="FO77" s="2617">
        <v>96</v>
      </c>
      <c r="FP77" s="2615">
        <v>56</v>
      </c>
      <c r="FQ77" s="2616">
        <v>82</v>
      </c>
      <c r="FR77" s="2616">
        <v>79</v>
      </c>
      <c r="FS77" s="2616">
        <v>49</v>
      </c>
      <c r="FT77" s="2616">
        <v>66</v>
      </c>
      <c r="FU77" s="2616"/>
      <c r="FV77" s="2616"/>
      <c r="FW77" s="2616"/>
      <c r="FX77" s="2616"/>
      <c r="FY77" s="2616"/>
      <c r="FZ77" s="2616"/>
      <c r="GA77" s="2618"/>
      <c r="GB77" s="2607"/>
      <c r="GC77" s="2754">
        <v>425</v>
      </c>
      <c r="GD77" s="2755">
        <v>420</v>
      </c>
      <c r="GE77" s="2755">
        <v>788</v>
      </c>
      <c r="GF77" s="2756">
        <v>584</v>
      </c>
      <c r="GG77" s="2757">
        <v>659</v>
      </c>
      <c r="GH77" s="2758">
        <v>671</v>
      </c>
      <c r="GI77" s="2758">
        <v>668</v>
      </c>
      <c r="GJ77" s="2759">
        <v>737</v>
      </c>
      <c r="GK77" s="2760">
        <v>642</v>
      </c>
      <c r="GL77" s="2761">
        <v>661.5</v>
      </c>
      <c r="GM77" s="2762">
        <v>666</v>
      </c>
      <c r="GN77" s="2762">
        <v>591</v>
      </c>
      <c r="GO77" s="2763">
        <v>872</v>
      </c>
      <c r="GP77" s="2764">
        <v>588</v>
      </c>
      <c r="GQ77" s="2764">
        <v>483</v>
      </c>
      <c r="GR77" s="2765">
        <v>546</v>
      </c>
      <c r="GS77" s="2766">
        <v>576</v>
      </c>
      <c r="GT77" s="2767">
        <v>524</v>
      </c>
      <c r="GU77" s="2767">
        <v>586</v>
      </c>
      <c r="GV77" s="2768">
        <v>602</v>
      </c>
      <c r="GW77" s="2764">
        <v>305</v>
      </c>
      <c r="GX77" s="2764">
        <v>635</v>
      </c>
      <c r="GY77" s="2764">
        <v>767</v>
      </c>
      <c r="GZ77" s="2764">
        <v>718</v>
      </c>
      <c r="HA77" s="2769">
        <v>610</v>
      </c>
      <c r="HB77" s="2769">
        <v>689</v>
      </c>
      <c r="HC77" s="2769">
        <v>769</v>
      </c>
      <c r="HD77" s="2769">
        <v>801</v>
      </c>
      <c r="HE77" s="2770">
        <v>563</v>
      </c>
      <c r="HF77" s="2770">
        <v>725</v>
      </c>
      <c r="HG77" s="2770">
        <f t="shared" si="17"/>
        <v>800</v>
      </c>
      <c r="HH77" s="2770">
        <v>867</v>
      </c>
      <c r="HI77" s="2771">
        <v>618</v>
      </c>
      <c r="HJ77" s="2771">
        <f t="shared" si="18"/>
        <v>669</v>
      </c>
      <c r="HK77" s="2771">
        <f t="shared" si="19"/>
        <v>690</v>
      </c>
      <c r="HL77" s="2770">
        <f t="shared" si="20"/>
        <v>844</v>
      </c>
      <c r="HM77" s="2689">
        <f t="shared" si="21"/>
        <v>595</v>
      </c>
      <c r="HN77" s="2689">
        <f t="shared" si="22"/>
        <v>547</v>
      </c>
      <c r="HO77" s="2689">
        <f t="shared" si="23"/>
        <v>800</v>
      </c>
      <c r="HP77" s="2689">
        <f t="shared" si="24"/>
        <v>867</v>
      </c>
      <c r="HQ77" s="2764">
        <f t="shared" si="25"/>
        <v>705</v>
      </c>
      <c r="HR77" s="2764">
        <f t="shared" si="26"/>
        <v>820</v>
      </c>
      <c r="HS77" s="2764">
        <f t="shared" si="27"/>
        <v>789</v>
      </c>
      <c r="HT77" s="2764">
        <f t="shared" si="28"/>
        <v>848</v>
      </c>
      <c r="HU77" s="2772">
        <f t="shared" si="29"/>
        <v>702</v>
      </c>
      <c r="HV77" s="2769">
        <f t="shared" si="30"/>
        <v>647</v>
      </c>
      <c r="HW77" s="2769">
        <f t="shared" si="31"/>
        <v>740</v>
      </c>
      <c r="HX77" s="2769">
        <f t="shared" si="32"/>
        <v>951</v>
      </c>
      <c r="HY77" s="2773">
        <f t="shared" si="33"/>
        <v>664</v>
      </c>
      <c r="HZ77" s="2774">
        <f t="shared" si="34"/>
        <v>752</v>
      </c>
      <c r="IA77" s="2774">
        <f t="shared" si="35"/>
        <v>831</v>
      </c>
      <c r="IB77" s="2774">
        <f t="shared" si="36"/>
        <v>871</v>
      </c>
      <c r="IC77" s="2775">
        <f t="shared" si="65"/>
        <v>635</v>
      </c>
      <c r="ID77" s="2776">
        <f t="shared" si="66"/>
        <v>4</v>
      </c>
      <c r="IE77" s="2776">
        <f t="shared" si="67"/>
        <v>17</v>
      </c>
      <c r="IF77" s="2777">
        <f t="shared" si="68"/>
        <v>160</v>
      </c>
      <c r="IG77" s="2772">
        <f t="shared" si="51"/>
        <v>217</v>
      </c>
      <c r="IH77" s="2769">
        <f t="shared" si="52"/>
        <v>115</v>
      </c>
      <c r="II77" s="2769">
        <f t="shared" si="53"/>
        <v>0</v>
      </c>
      <c r="IJ77" s="2769">
        <f t="shared" si="54"/>
        <v>0</v>
      </c>
      <c r="IK77" s="2578"/>
      <c r="IL77" s="3358">
        <v>2217</v>
      </c>
      <c r="IM77" s="3359">
        <v>2735</v>
      </c>
      <c r="IN77" s="3359">
        <v>2560.5</v>
      </c>
      <c r="IO77" s="3359">
        <v>2489</v>
      </c>
      <c r="IP77" s="3359">
        <v>2288</v>
      </c>
      <c r="IQ77" s="3359">
        <v>2425</v>
      </c>
      <c r="IR77" s="3360">
        <v>2869</v>
      </c>
      <c r="IS77" s="3361">
        <v>2955</v>
      </c>
      <c r="IT77" s="3361">
        <f t="shared" si="37"/>
        <v>2821</v>
      </c>
      <c r="IU77" s="3361">
        <f t="shared" si="38"/>
        <v>2698</v>
      </c>
      <c r="IV77" s="3361">
        <f t="shared" si="39"/>
        <v>3162</v>
      </c>
      <c r="IW77" s="3361">
        <f t="shared" si="40"/>
        <v>3040</v>
      </c>
      <c r="IX77" s="3362">
        <f t="shared" si="55"/>
        <v>3118</v>
      </c>
      <c r="IY77" s="3380">
        <f t="shared" si="69"/>
        <v>816</v>
      </c>
      <c r="IZ77" s="3378">
        <f t="shared" si="57"/>
        <v>411</v>
      </c>
      <c r="JA77" s="3579">
        <f t="shared" si="58"/>
        <v>332</v>
      </c>
      <c r="JC77" s="3365">
        <f t="shared" si="59"/>
        <v>613.5</v>
      </c>
      <c r="JD77" s="3366">
        <f t="shared" si="42"/>
        <v>4.2987384206517893E-3</v>
      </c>
      <c r="JE77" s="3366">
        <f t="shared" si="43"/>
        <v>4.8427781802365026E-3</v>
      </c>
      <c r="JF77" s="3366">
        <f t="shared" si="60"/>
        <v>4.4419117754496704E-3</v>
      </c>
      <c r="JG77" s="3366">
        <f t="shared" si="56"/>
        <v>4.555881880214498E-3</v>
      </c>
      <c r="JH77" s="3366">
        <f t="shared" si="61"/>
        <v>4.285331666815463E-3</v>
      </c>
      <c r="JI77" s="3379">
        <f t="shared" si="62"/>
        <v>1.4626542726586856E-3</v>
      </c>
      <c r="JJ77" s="3366"/>
      <c r="JK77" s="3368">
        <f t="shared" si="44"/>
        <v>0.17197924388435881</v>
      </c>
      <c r="JL77" s="3369">
        <f t="shared" si="45"/>
        <v>-0.77260934025203853</v>
      </c>
      <c r="JM77" s="3369">
        <f t="shared" si="46"/>
        <v>-3.8583175205566089E-2</v>
      </c>
      <c r="JN77" s="3369">
        <f t="shared" si="46"/>
        <v>2.5657894736842213E-2</v>
      </c>
      <c r="JO77" s="3369">
        <f t="shared" si="46"/>
        <v>-0.73829377806286078</v>
      </c>
      <c r="JP77" s="3370">
        <f t="shared" si="63"/>
        <v>-0.8681847338037203</v>
      </c>
      <c r="JQ77" s="3371">
        <f t="shared" si="64"/>
        <v>-0.49632352941176472</v>
      </c>
      <c r="JS77" s="3045"/>
      <c r="JT77" s="3045"/>
      <c r="JU77" s="3045"/>
      <c r="JV77" s="3045"/>
      <c r="JW77" s="3045"/>
      <c r="JX77" s="3045"/>
      <c r="JY77" s="3045"/>
      <c r="JZ77" s="3045"/>
      <c r="KA77" s="3045"/>
      <c r="KB77" s="3045"/>
      <c r="KC77" s="3045"/>
      <c r="KD77" s="3045"/>
      <c r="KE77" s="3045"/>
      <c r="KF77" s="3045"/>
      <c r="KG77" s="3045"/>
      <c r="KH77" s="3045"/>
      <c r="KI77" s="3045"/>
      <c r="KJ77" s="3045"/>
      <c r="KK77" s="3045"/>
      <c r="KL77" s="3045"/>
      <c r="KM77" s="3045"/>
      <c r="KN77" s="3045"/>
      <c r="KO77" s="3045"/>
    </row>
    <row r="78" spans="1:301" ht="21.9" customHeight="1">
      <c r="A78" s="3382"/>
      <c r="B78" s="3045"/>
      <c r="C78" s="3099" t="s">
        <v>27</v>
      </c>
      <c r="D78" s="3330">
        <v>265</v>
      </c>
      <c r="E78" s="3331">
        <v>307</v>
      </c>
      <c r="F78" s="3331">
        <v>216</v>
      </c>
      <c r="G78" s="3331">
        <v>119</v>
      </c>
      <c r="H78" s="3331">
        <v>65</v>
      </c>
      <c r="I78" s="3331">
        <v>98</v>
      </c>
      <c r="J78" s="3331">
        <v>294</v>
      </c>
      <c r="K78" s="3331">
        <v>80</v>
      </c>
      <c r="L78" s="3331">
        <v>155</v>
      </c>
      <c r="M78" s="3331">
        <v>283</v>
      </c>
      <c r="N78" s="3331">
        <v>162</v>
      </c>
      <c r="O78" s="3332">
        <v>88</v>
      </c>
      <c r="P78" s="3333">
        <v>219</v>
      </c>
      <c r="Q78" s="3334">
        <v>477</v>
      </c>
      <c r="R78" s="3334">
        <v>222</v>
      </c>
      <c r="S78" s="3334">
        <v>110</v>
      </c>
      <c r="T78" s="3334">
        <v>92</v>
      </c>
      <c r="U78" s="3334">
        <v>159</v>
      </c>
      <c r="V78" s="3334">
        <v>307</v>
      </c>
      <c r="W78" s="3334">
        <v>107</v>
      </c>
      <c r="X78" s="3334">
        <v>148</v>
      </c>
      <c r="Y78" s="3334">
        <v>279</v>
      </c>
      <c r="Z78" s="3334">
        <v>201</v>
      </c>
      <c r="AA78" s="3335">
        <v>148</v>
      </c>
      <c r="AB78" s="3336">
        <v>203</v>
      </c>
      <c r="AC78" s="3337">
        <v>261</v>
      </c>
      <c r="AD78" s="3337">
        <v>206</v>
      </c>
      <c r="AE78" s="3337">
        <v>168</v>
      </c>
      <c r="AF78" s="3337">
        <v>175.5</v>
      </c>
      <c r="AG78" s="3337">
        <v>183</v>
      </c>
      <c r="AH78" s="3337">
        <v>252</v>
      </c>
      <c r="AI78" s="3337">
        <v>99</v>
      </c>
      <c r="AJ78" s="3337">
        <v>98</v>
      </c>
      <c r="AK78" s="3337">
        <v>238</v>
      </c>
      <c r="AL78" s="3337">
        <v>202</v>
      </c>
      <c r="AM78" s="3338">
        <v>115</v>
      </c>
      <c r="AN78" s="3339">
        <v>178</v>
      </c>
      <c r="AO78" s="3340">
        <v>251</v>
      </c>
      <c r="AP78" s="3340">
        <v>200</v>
      </c>
      <c r="AQ78" s="3340">
        <v>92</v>
      </c>
      <c r="AR78" s="3340">
        <v>87</v>
      </c>
      <c r="AS78" s="3340">
        <v>128</v>
      </c>
      <c r="AT78" s="3340">
        <v>283</v>
      </c>
      <c r="AU78" s="3340">
        <v>77</v>
      </c>
      <c r="AV78" s="3340">
        <v>113</v>
      </c>
      <c r="AW78" s="3340">
        <v>172</v>
      </c>
      <c r="AX78" s="3340">
        <v>246</v>
      </c>
      <c r="AY78" s="3341">
        <v>112</v>
      </c>
      <c r="AZ78" s="3277">
        <v>213</v>
      </c>
      <c r="BA78" s="3277">
        <v>406</v>
      </c>
      <c r="BB78" s="3277">
        <v>152</v>
      </c>
      <c r="BC78" s="3277">
        <v>116</v>
      </c>
      <c r="BD78" s="3277">
        <v>60</v>
      </c>
      <c r="BE78" s="3277">
        <v>122</v>
      </c>
      <c r="BF78" s="3277">
        <v>217</v>
      </c>
      <c r="BG78" s="3277">
        <v>88</v>
      </c>
      <c r="BH78" s="3277">
        <v>138</v>
      </c>
      <c r="BI78" s="3277">
        <v>226</v>
      </c>
      <c r="BJ78" s="3277">
        <v>103</v>
      </c>
      <c r="BK78" s="3374">
        <v>150</v>
      </c>
      <c r="BL78" s="3344">
        <v>250</v>
      </c>
      <c r="BM78" s="3345">
        <v>287</v>
      </c>
      <c r="BN78" s="3345">
        <v>177</v>
      </c>
      <c r="BO78" s="3345">
        <v>87</v>
      </c>
      <c r="BP78" s="3345">
        <v>81</v>
      </c>
      <c r="BQ78" s="3345">
        <v>96</v>
      </c>
      <c r="BR78" s="3345">
        <v>200</v>
      </c>
      <c r="BS78" s="3345">
        <v>61</v>
      </c>
      <c r="BT78" s="3346">
        <v>166</v>
      </c>
      <c r="BU78" s="3346">
        <v>157</v>
      </c>
      <c r="BV78" s="3346">
        <v>166</v>
      </c>
      <c r="BW78" s="3347">
        <v>70</v>
      </c>
      <c r="BX78" s="3348">
        <v>234</v>
      </c>
      <c r="BY78" s="3273">
        <v>196</v>
      </c>
      <c r="BZ78" s="3273">
        <v>222</v>
      </c>
      <c r="CA78" s="3273">
        <v>104</v>
      </c>
      <c r="CB78" s="3273">
        <v>71</v>
      </c>
      <c r="CC78" s="3273">
        <v>101</v>
      </c>
      <c r="CD78" s="3273">
        <v>269</v>
      </c>
      <c r="CE78" s="3273">
        <v>67</v>
      </c>
      <c r="CF78" s="3273">
        <v>95</v>
      </c>
      <c r="CG78" s="3273">
        <v>146</v>
      </c>
      <c r="CH78" s="3273">
        <v>239</v>
      </c>
      <c r="CI78" s="3275">
        <v>112</v>
      </c>
      <c r="CJ78" s="3349">
        <v>252</v>
      </c>
      <c r="CK78" s="3350">
        <v>231</v>
      </c>
      <c r="CL78" s="3350">
        <v>180</v>
      </c>
      <c r="CM78" s="3350">
        <v>128</v>
      </c>
      <c r="CN78" s="3350">
        <v>77</v>
      </c>
      <c r="CO78" s="3350">
        <v>117</v>
      </c>
      <c r="CP78" s="3350">
        <v>176</v>
      </c>
      <c r="CQ78" s="3350">
        <v>98</v>
      </c>
      <c r="CR78" s="3350">
        <v>126</v>
      </c>
      <c r="CS78" s="3350">
        <v>196</v>
      </c>
      <c r="CT78" s="3350">
        <v>187</v>
      </c>
      <c r="CU78" s="3351">
        <v>137</v>
      </c>
      <c r="CV78" s="3349">
        <v>133</v>
      </c>
      <c r="CW78" s="3350">
        <v>234</v>
      </c>
      <c r="CX78" s="3272">
        <v>242</v>
      </c>
      <c r="CY78" s="3272">
        <v>102</v>
      </c>
      <c r="CZ78" s="3272">
        <v>65</v>
      </c>
      <c r="DA78" s="3272">
        <v>124</v>
      </c>
      <c r="DB78" s="3272">
        <v>224</v>
      </c>
      <c r="DC78" s="3272">
        <v>70</v>
      </c>
      <c r="DD78" s="3272">
        <v>93</v>
      </c>
      <c r="DE78" s="3272">
        <v>185</v>
      </c>
      <c r="DF78" s="3272">
        <v>146</v>
      </c>
      <c r="DG78" s="3351">
        <v>117</v>
      </c>
      <c r="DH78" s="3352">
        <v>180</v>
      </c>
      <c r="DI78" s="3353">
        <v>228</v>
      </c>
      <c r="DJ78" s="3353">
        <v>313</v>
      </c>
      <c r="DK78" s="3354">
        <v>108</v>
      </c>
      <c r="DL78" s="3354">
        <v>75</v>
      </c>
      <c r="DM78" s="3354">
        <v>154</v>
      </c>
      <c r="DN78" s="3354">
        <v>248</v>
      </c>
      <c r="DO78" s="3354">
        <v>76</v>
      </c>
      <c r="DP78" s="2556">
        <v>99</v>
      </c>
      <c r="DQ78" s="3354">
        <v>209</v>
      </c>
      <c r="DR78" s="3354">
        <v>114</v>
      </c>
      <c r="DS78" s="3355">
        <v>97</v>
      </c>
      <c r="DT78" s="3356">
        <v>165</v>
      </c>
      <c r="DU78" s="3243">
        <v>265</v>
      </c>
      <c r="DV78" s="3243">
        <v>226</v>
      </c>
      <c r="DW78" s="3164">
        <v>167</v>
      </c>
      <c r="DX78" s="3164">
        <v>67</v>
      </c>
      <c r="DY78" s="3164">
        <v>147</v>
      </c>
      <c r="DZ78" s="3164">
        <v>267</v>
      </c>
      <c r="EA78" s="3164">
        <v>116</v>
      </c>
      <c r="EB78" s="3164">
        <v>166</v>
      </c>
      <c r="EC78" s="3164">
        <v>230</v>
      </c>
      <c r="ED78" s="3164">
        <v>154</v>
      </c>
      <c r="EE78" s="3163">
        <v>150</v>
      </c>
      <c r="EF78" s="2532">
        <v>202</v>
      </c>
      <c r="EG78" s="2531">
        <v>365</v>
      </c>
      <c r="EH78" s="2531">
        <v>309</v>
      </c>
      <c r="EI78" s="2531">
        <v>194</v>
      </c>
      <c r="EJ78" s="2531">
        <v>79</v>
      </c>
      <c r="EK78" s="2531">
        <v>144</v>
      </c>
      <c r="EL78" s="2531">
        <v>268</v>
      </c>
      <c r="EM78" s="2557">
        <v>88</v>
      </c>
      <c r="EN78" s="2557">
        <v>172</v>
      </c>
      <c r="EO78" s="2558">
        <v>309</v>
      </c>
      <c r="EP78" s="2558">
        <v>189</v>
      </c>
      <c r="EQ78" s="2559">
        <v>154</v>
      </c>
      <c r="ER78" s="1324">
        <v>229</v>
      </c>
      <c r="ES78" s="3357">
        <v>408</v>
      </c>
      <c r="ET78" s="3357">
        <v>247</v>
      </c>
      <c r="EU78" s="2560">
        <v>255</v>
      </c>
      <c r="EV78" s="2108">
        <v>103</v>
      </c>
      <c r="EW78" s="2108">
        <v>140</v>
      </c>
      <c r="EX78" s="2108">
        <v>343</v>
      </c>
      <c r="EY78" s="2108">
        <v>141</v>
      </c>
      <c r="EZ78" s="2108">
        <v>242</v>
      </c>
      <c r="FA78" s="2276">
        <v>175</v>
      </c>
      <c r="FB78" s="2276">
        <v>177</v>
      </c>
      <c r="FC78" s="2276">
        <v>150</v>
      </c>
      <c r="FD78" s="2608">
        <v>283</v>
      </c>
      <c r="FE78" s="2609">
        <v>504</v>
      </c>
      <c r="FF78" s="2609">
        <v>137</v>
      </c>
      <c r="FG78" s="2609">
        <v>2</v>
      </c>
      <c r="FH78" s="2609">
        <v>2</v>
      </c>
      <c r="FI78" s="2609">
        <v>4</v>
      </c>
      <c r="FJ78" s="2609">
        <v>7</v>
      </c>
      <c r="FK78" s="2609">
        <v>2</v>
      </c>
      <c r="FL78" s="2609">
        <v>11</v>
      </c>
      <c r="FM78" s="2609">
        <v>16</v>
      </c>
      <c r="FN78" s="2609">
        <v>7</v>
      </c>
      <c r="FO78" s="2610">
        <v>15</v>
      </c>
      <c r="FP78" s="2608">
        <v>12</v>
      </c>
      <c r="FQ78" s="2609">
        <v>7</v>
      </c>
      <c r="FR78" s="2609">
        <v>9</v>
      </c>
      <c r="FS78" s="2609">
        <v>4</v>
      </c>
      <c r="FT78" s="2609">
        <v>13</v>
      </c>
      <c r="FU78" s="2609"/>
      <c r="FV78" s="2609"/>
      <c r="FW78" s="2609"/>
      <c r="FX78" s="2609"/>
      <c r="FY78" s="2609"/>
      <c r="FZ78" s="2609"/>
      <c r="GA78" s="2614"/>
      <c r="GB78" s="2607"/>
      <c r="GC78" s="2754">
        <v>788</v>
      </c>
      <c r="GD78" s="2755">
        <v>282</v>
      </c>
      <c r="GE78" s="2755">
        <v>529</v>
      </c>
      <c r="GF78" s="2756">
        <v>533</v>
      </c>
      <c r="GG78" s="2757">
        <v>918</v>
      </c>
      <c r="GH78" s="2758">
        <v>361</v>
      </c>
      <c r="GI78" s="2758">
        <v>562</v>
      </c>
      <c r="GJ78" s="2759">
        <v>628</v>
      </c>
      <c r="GK78" s="2760">
        <v>670</v>
      </c>
      <c r="GL78" s="2761">
        <v>526.5</v>
      </c>
      <c r="GM78" s="2762">
        <v>449</v>
      </c>
      <c r="GN78" s="2762">
        <v>555</v>
      </c>
      <c r="GO78" s="2763">
        <v>629</v>
      </c>
      <c r="GP78" s="2764">
        <v>307</v>
      </c>
      <c r="GQ78" s="2764">
        <v>473</v>
      </c>
      <c r="GR78" s="2765">
        <v>530</v>
      </c>
      <c r="GS78" s="2766">
        <v>771</v>
      </c>
      <c r="GT78" s="2767">
        <v>298</v>
      </c>
      <c r="GU78" s="2767">
        <v>443</v>
      </c>
      <c r="GV78" s="2768">
        <v>479</v>
      </c>
      <c r="GW78" s="2764">
        <v>714</v>
      </c>
      <c r="GX78" s="2764">
        <v>264</v>
      </c>
      <c r="GY78" s="2764">
        <v>427</v>
      </c>
      <c r="GZ78" s="2764">
        <v>393</v>
      </c>
      <c r="HA78" s="2769">
        <v>652</v>
      </c>
      <c r="HB78" s="2769">
        <v>276</v>
      </c>
      <c r="HC78" s="2769">
        <v>431</v>
      </c>
      <c r="HD78" s="2769">
        <v>497</v>
      </c>
      <c r="HE78" s="2770">
        <v>663</v>
      </c>
      <c r="HF78" s="2770">
        <v>322</v>
      </c>
      <c r="HG78" s="2770">
        <f t="shared" si="17"/>
        <v>400</v>
      </c>
      <c r="HH78" s="2770">
        <v>520</v>
      </c>
      <c r="HI78" s="2771">
        <v>609</v>
      </c>
      <c r="HJ78" s="2771">
        <f t="shared" si="18"/>
        <v>291</v>
      </c>
      <c r="HK78" s="2771">
        <f t="shared" si="19"/>
        <v>387</v>
      </c>
      <c r="HL78" s="2770">
        <f t="shared" si="20"/>
        <v>448</v>
      </c>
      <c r="HM78" s="2689">
        <f t="shared" si="21"/>
        <v>721</v>
      </c>
      <c r="HN78" s="2689">
        <f t="shared" si="22"/>
        <v>337</v>
      </c>
      <c r="HO78" s="2689">
        <f t="shared" si="23"/>
        <v>421</v>
      </c>
      <c r="HP78" s="2689">
        <f t="shared" si="24"/>
        <v>420</v>
      </c>
      <c r="HQ78" s="2764">
        <f t="shared" si="25"/>
        <v>656</v>
      </c>
      <c r="HR78" s="2764">
        <f t="shared" si="26"/>
        <v>381</v>
      </c>
      <c r="HS78" s="2764">
        <f t="shared" si="27"/>
        <v>549</v>
      </c>
      <c r="HT78" s="2764">
        <f t="shared" si="28"/>
        <v>534</v>
      </c>
      <c r="HU78" s="2772">
        <f t="shared" si="29"/>
        <v>876</v>
      </c>
      <c r="HV78" s="2769">
        <f t="shared" si="30"/>
        <v>417</v>
      </c>
      <c r="HW78" s="2769">
        <f t="shared" si="31"/>
        <v>528</v>
      </c>
      <c r="HX78" s="2769">
        <f t="shared" si="32"/>
        <v>652</v>
      </c>
      <c r="HY78" s="2773">
        <f t="shared" si="33"/>
        <v>884</v>
      </c>
      <c r="HZ78" s="2774">
        <f t="shared" si="34"/>
        <v>498</v>
      </c>
      <c r="IA78" s="2774">
        <f t="shared" si="35"/>
        <v>726</v>
      </c>
      <c r="IB78" s="2774">
        <f t="shared" si="36"/>
        <v>502</v>
      </c>
      <c r="IC78" s="2775">
        <f t="shared" si="65"/>
        <v>924</v>
      </c>
      <c r="ID78" s="2776">
        <f t="shared" si="66"/>
        <v>8</v>
      </c>
      <c r="IE78" s="2776">
        <f t="shared" si="67"/>
        <v>20</v>
      </c>
      <c r="IF78" s="2777">
        <f t="shared" si="68"/>
        <v>38</v>
      </c>
      <c r="IG78" s="2772">
        <f t="shared" si="51"/>
        <v>28</v>
      </c>
      <c r="IH78" s="2769">
        <f t="shared" si="52"/>
        <v>17</v>
      </c>
      <c r="II78" s="2769">
        <f t="shared" si="53"/>
        <v>0</v>
      </c>
      <c r="IJ78" s="2769">
        <f t="shared" si="54"/>
        <v>0</v>
      </c>
      <c r="IK78" s="2578"/>
      <c r="IL78" s="3358">
        <v>2132</v>
      </c>
      <c r="IM78" s="3359">
        <v>2469</v>
      </c>
      <c r="IN78" s="3359">
        <v>2200.5</v>
      </c>
      <c r="IO78" s="3359">
        <v>1939</v>
      </c>
      <c r="IP78" s="3359">
        <v>1991</v>
      </c>
      <c r="IQ78" s="3359">
        <v>1798</v>
      </c>
      <c r="IR78" s="3360">
        <v>1856</v>
      </c>
      <c r="IS78" s="3361">
        <v>1905</v>
      </c>
      <c r="IT78" s="3361">
        <f t="shared" si="37"/>
        <v>1735</v>
      </c>
      <c r="IU78" s="3361">
        <f t="shared" si="38"/>
        <v>1901</v>
      </c>
      <c r="IV78" s="3361">
        <f t="shared" si="39"/>
        <v>2120</v>
      </c>
      <c r="IW78" s="3361">
        <f t="shared" si="40"/>
        <v>2473</v>
      </c>
      <c r="IX78" s="3362">
        <f t="shared" si="55"/>
        <v>2610</v>
      </c>
      <c r="IY78" s="3380">
        <f t="shared" si="69"/>
        <v>990</v>
      </c>
      <c r="IZ78" s="3378">
        <f t="shared" si="57"/>
        <v>222</v>
      </c>
      <c r="JA78" s="3579">
        <f t="shared" si="58"/>
        <v>45</v>
      </c>
      <c r="JC78" s="3365">
        <f t="shared" si="59"/>
        <v>606</v>
      </c>
      <c r="JD78" s="3366">
        <f t="shared" si="42"/>
        <v>3.0288738834911236E-3</v>
      </c>
      <c r="JE78" s="3366">
        <f t="shared" si="43"/>
        <v>3.246897451644967E-3</v>
      </c>
      <c r="JF78" s="3366">
        <f t="shared" si="60"/>
        <v>3.6134367831207352E-3</v>
      </c>
      <c r="JG78" s="3366">
        <f t="shared" si="56"/>
        <v>3.813615044053829E-3</v>
      </c>
      <c r="JH78" s="3366">
        <f t="shared" si="61"/>
        <v>5.1991156251805252E-3</v>
      </c>
      <c r="JI78" s="3379">
        <f t="shared" si="62"/>
        <v>7.9004683340688124E-4</v>
      </c>
      <c r="JJ78" s="3366"/>
      <c r="JK78" s="3368">
        <f t="shared" si="44"/>
        <v>0.11520252498684913</v>
      </c>
      <c r="JL78" s="3369">
        <f t="shared" si="45"/>
        <v>-0.68122041031036296</v>
      </c>
      <c r="JM78" s="3369">
        <f t="shared" si="46"/>
        <v>0.16650943396226414</v>
      </c>
      <c r="JN78" s="3369">
        <f t="shared" si="46"/>
        <v>5.539830165790538E-2</v>
      </c>
      <c r="JO78" s="3369">
        <f t="shared" si="46"/>
        <v>-0.62068965517241381</v>
      </c>
      <c r="JP78" s="3370">
        <f t="shared" si="63"/>
        <v>-0.9149425287356322</v>
      </c>
      <c r="JQ78" s="3371">
        <f t="shared" si="64"/>
        <v>-0.77575757575757576</v>
      </c>
      <c r="JS78" s="3045"/>
      <c r="JT78" s="3045"/>
      <c r="JU78" s="3045"/>
      <c r="JV78" s="3045"/>
      <c r="JW78" s="3045"/>
      <c r="JX78" s="3045"/>
      <c r="JY78" s="3045"/>
      <c r="JZ78" s="3045"/>
      <c r="KA78" s="3045"/>
      <c r="KB78" s="3045"/>
      <c r="KC78" s="3045"/>
      <c r="KD78" s="3045"/>
      <c r="KE78" s="3045"/>
      <c r="KF78" s="3045"/>
      <c r="KG78" s="3045"/>
      <c r="KH78" s="3045"/>
      <c r="KI78" s="3045"/>
      <c r="KJ78" s="3045"/>
      <c r="KK78" s="3045"/>
      <c r="KL78" s="3045"/>
      <c r="KM78" s="3045"/>
      <c r="KN78" s="3045"/>
      <c r="KO78" s="3045"/>
    </row>
    <row r="79" spans="1:301" ht="21.9" customHeight="1">
      <c r="A79" s="3382"/>
      <c r="B79" s="3045"/>
      <c r="C79" s="3381" t="s">
        <v>26</v>
      </c>
      <c r="D79" s="3330">
        <v>78</v>
      </c>
      <c r="E79" s="3331">
        <v>103</v>
      </c>
      <c r="F79" s="3331">
        <v>184</v>
      </c>
      <c r="G79" s="3331">
        <v>112</v>
      </c>
      <c r="H79" s="3331">
        <v>114</v>
      </c>
      <c r="I79" s="3331">
        <v>148</v>
      </c>
      <c r="J79" s="3331">
        <v>197</v>
      </c>
      <c r="K79" s="3331">
        <v>193</v>
      </c>
      <c r="L79" s="3331">
        <v>181</v>
      </c>
      <c r="M79" s="3331">
        <v>180</v>
      </c>
      <c r="N79" s="3331">
        <v>90</v>
      </c>
      <c r="O79" s="3332">
        <v>80</v>
      </c>
      <c r="P79" s="3333">
        <v>155</v>
      </c>
      <c r="Q79" s="3334">
        <v>173</v>
      </c>
      <c r="R79" s="3334">
        <v>175</v>
      </c>
      <c r="S79" s="3334">
        <v>248</v>
      </c>
      <c r="T79" s="3334">
        <v>167</v>
      </c>
      <c r="U79" s="3334">
        <v>202</v>
      </c>
      <c r="V79" s="3334">
        <v>236</v>
      </c>
      <c r="W79" s="3334">
        <v>262</v>
      </c>
      <c r="X79" s="3334">
        <v>246</v>
      </c>
      <c r="Y79" s="3334">
        <v>170</v>
      </c>
      <c r="Z79" s="3334">
        <v>145</v>
      </c>
      <c r="AA79" s="3335">
        <v>145</v>
      </c>
      <c r="AB79" s="3336">
        <v>130</v>
      </c>
      <c r="AC79" s="3337">
        <v>123</v>
      </c>
      <c r="AD79" s="3337">
        <v>218</v>
      </c>
      <c r="AE79" s="3337">
        <v>241</v>
      </c>
      <c r="AF79" s="3337">
        <v>241</v>
      </c>
      <c r="AG79" s="3337">
        <v>241</v>
      </c>
      <c r="AH79" s="3337">
        <v>289</v>
      </c>
      <c r="AI79" s="3337">
        <v>236</v>
      </c>
      <c r="AJ79" s="3337">
        <v>213</v>
      </c>
      <c r="AK79" s="3337">
        <v>154</v>
      </c>
      <c r="AL79" s="3337">
        <v>149</v>
      </c>
      <c r="AM79" s="3338">
        <v>91</v>
      </c>
      <c r="AN79" s="3339">
        <v>175</v>
      </c>
      <c r="AO79" s="3340">
        <v>112</v>
      </c>
      <c r="AP79" s="3340">
        <v>279</v>
      </c>
      <c r="AQ79" s="3340">
        <v>168</v>
      </c>
      <c r="AR79" s="3340">
        <v>152</v>
      </c>
      <c r="AS79" s="3340">
        <v>226</v>
      </c>
      <c r="AT79" s="3340">
        <v>249</v>
      </c>
      <c r="AU79" s="3340">
        <v>261</v>
      </c>
      <c r="AV79" s="3340">
        <v>217</v>
      </c>
      <c r="AW79" s="3340">
        <v>88</v>
      </c>
      <c r="AX79" s="3340">
        <v>87</v>
      </c>
      <c r="AY79" s="3341">
        <v>78</v>
      </c>
      <c r="AZ79" s="3277">
        <v>118</v>
      </c>
      <c r="BA79" s="3277">
        <v>139</v>
      </c>
      <c r="BB79" s="3277">
        <v>125</v>
      </c>
      <c r="BC79" s="3277">
        <v>217</v>
      </c>
      <c r="BD79" s="3277">
        <v>175</v>
      </c>
      <c r="BE79" s="3277">
        <v>150</v>
      </c>
      <c r="BF79" s="3277">
        <v>262</v>
      </c>
      <c r="BG79" s="3277">
        <v>198</v>
      </c>
      <c r="BH79" s="3277">
        <v>219</v>
      </c>
      <c r="BI79" s="3277">
        <v>271</v>
      </c>
      <c r="BJ79" s="3277">
        <v>98</v>
      </c>
      <c r="BK79" s="3374">
        <v>86</v>
      </c>
      <c r="BL79" s="3344">
        <v>133</v>
      </c>
      <c r="BM79" s="3345">
        <v>119</v>
      </c>
      <c r="BN79" s="3345">
        <v>163</v>
      </c>
      <c r="BO79" s="3345">
        <v>213</v>
      </c>
      <c r="BP79" s="3345">
        <v>210</v>
      </c>
      <c r="BQ79" s="3345">
        <v>203</v>
      </c>
      <c r="BR79" s="3345">
        <v>253</v>
      </c>
      <c r="BS79" s="3345">
        <v>221</v>
      </c>
      <c r="BT79" s="3346">
        <v>326</v>
      </c>
      <c r="BU79" s="3346">
        <v>176</v>
      </c>
      <c r="BV79" s="3346">
        <v>131</v>
      </c>
      <c r="BW79" s="3347">
        <v>106</v>
      </c>
      <c r="BX79" s="3348">
        <v>135</v>
      </c>
      <c r="BY79" s="3273">
        <v>152</v>
      </c>
      <c r="BZ79" s="3273">
        <v>185</v>
      </c>
      <c r="CA79" s="3273">
        <v>132</v>
      </c>
      <c r="CB79" s="3273">
        <v>195</v>
      </c>
      <c r="CC79" s="3273">
        <v>177</v>
      </c>
      <c r="CD79" s="3273">
        <v>258</v>
      </c>
      <c r="CE79" s="3273">
        <v>175</v>
      </c>
      <c r="CF79" s="3273">
        <v>275</v>
      </c>
      <c r="CG79" s="3273">
        <v>119</v>
      </c>
      <c r="CH79" s="3273">
        <v>118</v>
      </c>
      <c r="CI79" s="3275">
        <v>86</v>
      </c>
      <c r="CJ79" s="3349">
        <v>153</v>
      </c>
      <c r="CK79" s="3350">
        <v>143</v>
      </c>
      <c r="CL79" s="3350">
        <v>161</v>
      </c>
      <c r="CM79" s="3350">
        <v>201</v>
      </c>
      <c r="CN79" s="3350">
        <v>206</v>
      </c>
      <c r="CO79" s="3350">
        <v>181</v>
      </c>
      <c r="CP79" s="3350">
        <v>278</v>
      </c>
      <c r="CQ79" s="3350">
        <v>198</v>
      </c>
      <c r="CR79" s="3350">
        <v>227</v>
      </c>
      <c r="CS79" s="3350">
        <v>207</v>
      </c>
      <c r="CT79" s="3350">
        <v>126</v>
      </c>
      <c r="CU79" s="3351">
        <v>73</v>
      </c>
      <c r="CV79" s="3349">
        <v>204</v>
      </c>
      <c r="CW79" s="3350">
        <v>104</v>
      </c>
      <c r="CX79" s="3272">
        <v>171</v>
      </c>
      <c r="CY79" s="3272">
        <v>264</v>
      </c>
      <c r="CZ79" s="3272">
        <v>250</v>
      </c>
      <c r="DA79" s="3272">
        <v>188</v>
      </c>
      <c r="DB79" s="3272">
        <v>204</v>
      </c>
      <c r="DC79" s="3272">
        <v>170</v>
      </c>
      <c r="DD79" s="3272">
        <v>298</v>
      </c>
      <c r="DE79" s="3272">
        <v>111</v>
      </c>
      <c r="DF79" s="3272">
        <v>147</v>
      </c>
      <c r="DG79" s="3351">
        <v>77</v>
      </c>
      <c r="DH79" s="3352">
        <v>124</v>
      </c>
      <c r="DI79" s="3353">
        <v>147</v>
      </c>
      <c r="DJ79" s="3353">
        <v>120</v>
      </c>
      <c r="DK79" s="3354">
        <v>273</v>
      </c>
      <c r="DL79" s="3354">
        <v>157</v>
      </c>
      <c r="DM79" s="3354">
        <v>220</v>
      </c>
      <c r="DN79" s="3354">
        <v>209</v>
      </c>
      <c r="DO79" s="3354">
        <v>188</v>
      </c>
      <c r="DP79" s="2556">
        <v>175</v>
      </c>
      <c r="DQ79" s="3354">
        <v>245</v>
      </c>
      <c r="DR79" s="3354">
        <v>107</v>
      </c>
      <c r="DS79" s="3355">
        <v>136</v>
      </c>
      <c r="DT79" s="3356">
        <v>102</v>
      </c>
      <c r="DU79" s="3243">
        <v>109</v>
      </c>
      <c r="DV79" s="3243">
        <v>146</v>
      </c>
      <c r="DW79" s="3164">
        <v>271</v>
      </c>
      <c r="DX79" s="3164">
        <v>156</v>
      </c>
      <c r="DY79" s="3164">
        <v>142</v>
      </c>
      <c r="DZ79" s="3164">
        <v>179</v>
      </c>
      <c r="EA79" s="3164">
        <v>186</v>
      </c>
      <c r="EB79" s="3164">
        <v>144</v>
      </c>
      <c r="EC79" s="3164">
        <v>117</v>
      </c>
      <c r="ED79" s="3164">
        <v>104</v>
      </c>
      <c r="EE79" s="3163">
        <v>119</v>
      </c>
      <c r="EF79" s="2532">
        <v>145</v>
      </c>
      <c r="EG79" s="2531">
        <v>134</v>
      </c>
      <c r="EH79" s="2531">
        <v>200</v>
      </c>
      <c r="EI79" s="2531">
        <v>232</v>
      </c>
      <c r="EJ79" s="2531">
        <v>249</v>
      </c>
      <c r="EK79" s="2531">
        <v>206</v>
      </c>
      <c r="EL79" s="2531">
        <v>241</v>
      </c>
      <c r="EM79" s="2557">
        <v>250</v>
      </c>
      <c r="EN79" s="2557">
        <v>307</v>
      </c>
      <c r="EO79" s="2558">
        <v>141</v>
      </c>
      <c r="EP79" s="2558">
        <v>72</v>
      </c>
      <c r="EQ79" s="2559">
        <v>230</v>
      </c>
      <c r="ER79" s="1323">
        <v>127</v>
      </c>
      <c r="ES79" s="3357">
        <v>102</v>
      </c>
      <c r="ET79" s="3357">
        <v>181</v>
      </c>
      <c r="EU79" s="2560">
        <v>326</v>
      </c>
      <c r="EV79" s="2107">
        <v>267</v>
      </c>
      <c r="EW79" s="2107">
        <v>227</v>
      </c>
      <c r="EX79" s="2107">
        <v>312</v>
      </c>
      <c r="EY79" s="2107">
        <v>221</v>
      </c>
      <c r="EZ79" s="2107">
        <v>232</v>
      </c>
      <c r="FA79" s="2275">
        <v>262</v>
      </c>
      <c r="FB79" s="2275">
        <v>139</v>
      </c>
      <c r="FC79" s="2275">
        <v>165</v>
      </c>
      <c r="FD79" s="2615">
        <v>173</v>
      </c>
      <c r="FE79" s="2616">
        <v>113</v>
      </c>
      <c r="FF79" s="2616">
        <v>75</v>
      </c>
      <c r="FG79" s="2616"/>
      <c r="FH79" s="2616"/>
      <c r="FI79" s="2616">
        <v>1</v>
      </c>
      <c r="FJ79" s="2616">
        <v>5</v>
      </c>
      <c r="FK79" s="2616">
        <v>12</v>
      </c>
      <c r="FL79" s="2616">
        <v>7</v>
      </c>
      <c r="FM79" s="2616">
        <v>12</v>
      </c>
      <c r="FN79" s="2616">
        <v>24</v>
      </c>
      <c r="FO79" s="2617">
        <v>21</v>
      </c>
      <c r="FP79" s="2615">
        <v>29</v>
      </c>
      <c r="FQ79" s="2616">
        <v>7</v>
      </c>
      <c r="FR79" s="2616">
        <v>24</v>
      </c>
      <c r="FS79" s="2616">
        <v>46</v>
      </c>
      <c r="FT79" s="2616">
        <v>42</v>
      </c>
      <c r="FU79" s="2616"/>
      <c r="FV79" s="2616"/>
      <c r="FW79" s="2616"/>
      <c r="FX79" s="2616"/>
      <c r="FY79" s="2616"/>
      <c r="FZ79" s="2616"/>
      <c r="GA79" s="2618"/>
      <c r="GB79" s="2607"/>
      <c r="GC79" s="2754">
        <v>365</v>
      </c>
      <c r="GD79" s="2755">
        <v>374</v>
      </c>
      <c r="GE79" s="2755">
        <v>571</v>
      </c>
      <c r="GF79" s="2756">
        <v>350</v>
      </c>
      <c r="GG79" s="2757">
        <v>503</v>
      </c>
      <c r="GH79" s="2758">
        <v>617</v>
      </c>
      <c r="GI79" s="2758">
        <v>744</v>
      </c>
      <c r="GJ79" s="2759">
        <v>460</v>
      </c>
      <c r="GK79" s="2760">
        <v>471</v>
      </c>
      <c r="GL79" s="2761">
        <v>723</v>
      </c>
      <c r="GM79" s="2762">
        <v>738</v>
      </c>
      <c r="GN79" s="2762">
        <v>394</v>
      </c>
      <c r="GO79" s="2763">
        <v>566</v>
      </c>
      <c r="GP79" s="2764">
        <v>546</v>
      </c>
      <c r="GQ79" s="2764">
        <v>727</v>
      </c>
      <c r="GR79" s="2765">
        <v>253</v>
      </c>
      <c r="GS79" s="2766">
        <v>382</v>
      </c>
      <c r="GT79" s="2767">
        <v>542</v>
      </c>
      <c r="GU79" s="2767">
        <v>679</v>
      </c>
      <c r="GV79" s="2768">
        <v>455</v>
      </c>
      <c r="GW79" s="2764">
        <v>415</v>
      </c>
      <c r="GX79" s="2764">
        <v>626</v>
      </c>
      <c r="GY79" s="2764">
        <v>800</v>
      </c>
      <c r="GZ79" s="2764">
        <v>413</v>
      </c>
      <c r="HA79" s="2769">
        <v>472</v>
      </c>
      <c r="HB79" s="2769">
        <v>504</v>
      </c>
      <c r="HC79" s="2769">
        <v>708</v>
      </c>
      <c r="HD79" s="2769">
        <v>323</v>
      </c>
      <c r="HE79" s="2770">
        <v>457</v>
      </c>
      <c r="HF79" s="2770">
        <v>588</v>
      </c>
      <c r="HG79" s="2770">
        <f t="shared" si="17"/>
        <v>703</v>
      </c>
      <c r="HH79" s="2770">
        <v>406</v>
      </c>
      <c r="HI79" s="2771">
        <v>479</v>
      </c>
      <c r="HJ79" s="2771">
        <f t="shared" si="18"/>
        <v>702</v>
      </c>
      <c r="HK79" s="2771">
        <f t="shared" si="19"/>
        <v>672</v>
      </c>
      <c r="HL79" s="2770">
        <f t="shared" si="20"/>
        <v>335</v>
      </c>
      <c r="HM79" s="2689">
        <f t="shared" si="21"/>
        <v>391</v>
      </c>
      <c r="HN79" s="2689">
        <f t="shared" si="22"/>
        <v>650</v>
      </c>
      <c r="HO79" s="2689">
        <f t="shared" si="23"/>
        <v>533</v>
      </c>
      <c r="HP79" s="2689">
        <f t="shared" si="24"/>
        <v>488</v>
      </c>
      <c r="HQ79" s="2764">
        <f t="shared" si="25"/>
        <v>357</v>
      </c>
      <c r="HR79" s="2764">
        <f t="shared" si="26"/>
        <v>569</v>
      </c>
      <c r="HS79" s="2764">
        <f t="shared" si="27"/>
        <v>509</v>
      </c>
      <c r="HT79" s="2764">
        <f t="shared" si="28"/>
        <v>340</v>
      </c>
      <c r="HU79" s="2772">
        <f t="shared" si="29"/>
        <v>479</v>
      </c>
      <c r="HV79" s="2769">
        <f t="shared" si="30"/>
        <v>687</v>
      </c>
      <c r="HW79" s="2769">
        <f t="shared" si="31"/>
        <v>798</v>
      </c>
      <c r="HX79" s="2769">
        <f t="shared" si="32"/>
        <v>443</v>
      </c>
      <c r="HY79" s="2773">
        <f t="shared" si="33"/>
        <v>410</v>
      </c>
      <c r="HZ79" s="2774">
        <f t="shared" si="34"/>
        <v>820</v>
      </c>
      <c r="IA79" s="2774">
        <f t="shared" si="35"/>
        <v>765</v>
      </c>
      <c r="IB79" s="2774">
        <f t="shared" si="36"/>
        <v>566</v>
      </c>
      <c r="IC79" s="2775">
        <f t="shared" si="65"/>
        <v>361</v>
      </c>
      <c r="ID79" s="2776">
        <f t="shared" si="66"/>
        <v>1</v>
      </c>
      <c r="IE79" s="2776">
        <f t="shared" si="67"/>
        <v>24</v>
      </c>
      <c r="IF79" s="2777">
        <f t="shared" si="68"/>
        <v>57</v>
      </c>
      <c r="IG79" s="2772">
        <f t="shared" si="51"/>
        <v>60</v>
      </c>
      <c r="IH79" s="2769">
        <f t="shared" si="52"/>
        <v>88</v>
      </c>
      <c r="II79" s="2769">
        <f t="shared" si="53"/>
        <v>0</v>
      </c>
      <c r="IJ79" s="2769">
        <f t="shared" si="54"/>
        <v>0</v>
      </c>
      <c r="IK79" s="2578"/>
      <c r="IL79" s="3358">
        <v>1660</v>
      </c>
      <c r="IM79" s="3359">
        <v>2324</v>
      </c>
      <c r="IN79" s="3359">
        <v>2326</v>
      </c>
      <c r="IO79" s="3359">
        <v>2092</v>
      </c>
      <c r="IP79" s="3359">
        <v>2058</v>
      </c>
      <c r="IQ79" s="3359">
        <v>2254</v>
      </c>
      <c r="IR79" s="3360">
        <v>2007</v>
      </c>
      <c r="IS79" s="3361">
        <v>2154</v>
      </c>
      <c r="IT79" s="3361">
        <f t="shared" si="37"/>
        <v>2188</v>
      </c>
      <c r="IU79" s="3361">
        <f t="shared" si="38"/>
        <v>2101</v>
      </c>
      <c r="IV79" s="3361">
        <f t="shared" si="39"/>
        <v>1775</v>
      </c>
      <c r="IW79" s="3361">
        <f t="shared" si="40"/>
        <v>2407</v>
      </c>
      <c r="IX79" s="3362">
        <f t="shared" si="55"/>
        <v>2561</v>
      </c>
      <c r="IY79" s="3380">
        <f t="shared" si="69"/>
        <v>443</v>
      </c>
      <c r="IZ79" s="3378">
        <f t="shared" si="57"/>
        <v>193</v>
      </c>
      <c r="JA79" s="3579">
        <f t="shared" si="58"/>
        <v>148</v>
      </c>
      <c r="JC79" s="3365">
        <f t="shared" si="59"/>
        <v>318</v>
      </c>
      <c r="JD79" s="3366">
        <f t="shared" si="42"/>
        <v>3.3475349969567863E-3</v>
      </c>
      <c r="JE79" s="3366">
        <f t="shared" si="43"/>
        <v>2.7185108380518002E-3</v>
      </c>
      <c r="JF79" s="3366">
        <f t="shared" si="60"/>
        <v>3.5170005406274202E-3</v>
      </c>
      <c r="JG79" s="3366">
        <f t="shared" si="56"/>
        <v>3.742018439778489E-3</v>
      </c>
      <c r="JH79" s="3366">
        <f t="shared" si="61"/>
        <v>2.3264729514696691E-3</v>
      </c>
      <c r="JI79" s="3379">
        <f t="shared" si="62"/>
        <v>6.8684251733120761E-4</v>
      </c>
      <c r="JJ79" s="3366"/>
      <c r="JK79" s="3368">
        <f t="shared" si="44"/>
        <v>-0.15516420752022841</v>
      </c>
      <c r="JL79" s="3369">
        <f t="shared" si="45"/>
        <v>-0.84864350309376491</v>
      </c>
      <c r="JM79" s="3369">
        <f t="shared" si="46"/>
        <v>0.35605633802816894</v>
      </c>
      <c r="JN79" s="3369">
        <f t="shared" si="46"/>
        <v>6.3980058163689346E-2</v>
      </c>
      <c r="JO79" s="3369">
        <f t="shared" si="46"/>
        <v>-0.82702069504099962</v>
      </c>
      <c r="JP79" s="3370">
        <f t="shared" si="63"/>
        <v>-0.92463881296368611</v>
      </c>
      <c r="JQ79" s="3371">
        <f t="shared" si="64"/>
        <v>-0.56433408577878108</v>
      </c>
      <c r="JS79" s="3045"/>
      <c r="JT79" s="3045"/>
      <c r="JU79" s="3045"/>
      <c r="JV79" s="3045"/>
      <c r="JW79" s="3045"/>
      <c r="JX79" s="3045"/>
      <c r="JY79" s="3045"/>
      <c r="JZ79" s="3045"/>
      <c r="KA79" s="3045"/>
      <c r="KB79" s="3045"/>
      <c r="KC79" s="3045"/>
      <c r="KD79" s="3045"/>
      <c r="KE79" s="3045"/>
      <c r="KF79" s="3045"/>
      <c r="KG79" s="3045"/>
      <c r="KH79" s="3045"/>
      <c r="KI79" s="3045"/>
      <c r="KJ79" s="3045"/>
      <c r="KK79" s="3045"/>
      <c r="KL79" s="3045"/>
      <c r="KM79" s="3045"/>
      <c r="KN79" s="3045"/>
      <c r="KO79" s="3045"/>
    </row>
    <row r="80" spans="1:301" ht="21.9" customHeight="1">
      <c r="A80" s="3382"/>
      <c r="B80" s="3045"/>
      <c r="C80" s="3381" t="s">
        <v>29</v>
      </c>
      <c r="D80" s="3330">
        <v>120</v>
      </c>
      <c r="E80" s="3331">
        <v>59</v>
      </c>
      <c r="F80" s="3331">
        <v>128</v>
      </c>
      <c r="G80" s="3331">
        <v>109</v>
      </c>
      <c r="H80" s="3331">
        <v>113</v>
      </c>
      <c r="I80" s="3331">
        <v>72</v>
      </c>
      <c r="J80" s="3331">
        <v>102</v>
      </c>
      <c r="K80" s="3331">
        <v>118</v>
      </c>
      <c r="L80" s="3331">
        <v>110</v>
      </c>
      <c r="M80" s="3331">
        <v>166</v>
      </c>
      <c r="N80" s="3331">
        <v>172</v>
      </c>
      <c r="O80" s="3332">
        <v>155</v>
      </c>
      <c r="P80" s="3333">
        <v>194</v>
      </c>
      <c r="Q80" s="3334">
        <v>225</v>
      </c>
      <c r="R80" s="3334">
        <v>75</v>
      </c>
      <c r="S80" s="3334">
        <v>146</v>
      </c>
      <c r="T80" s="3334">
        <v>108</v>
      </c>
      <c r="U80" s="3334">
        <v>91</v>
      </c>
      <c r="V80" s="3334">
        <v>59</v>
      </c>
      <c r="W80" s="3334">
        <v>146</v>
      </c>
      <c r="X80" s="3334">
        <v>144</v>
      </c>
      <c r="Y80" s="3334">
        <v>246</v>
      </c>
      <c r="Z80" s="3334">
        <v>176</v>
      </c>
      <c r="AA80" s="3335">
        <v>156</v>
      </c>
      <c r="AB80" s="3336">
        <v>242</v>
      </c>
      <c r="AC80" s="3337">
        <v>112</v>
      </c>
      <c r="AD80" s="3337">
        <v>107</v>
      </c>
      <c r="AE80" s="3337">
        <v>162</v>
      </c>
      <c r="AF80" s="3337">
        <v>132</v>
      </c>
      <c r="AG80" s="3337">
        <v>102</v>
      </c>
      <c r="AH80" s="3337">
        <v>113</v>
      </c>
      <c r="AI80" s="3337">
        <v>121</v>
      </c>
      <c r="AJ80" s="3337">
        <v>168</v>
      </c>
      <c r="AK80" s="3337">
        <v>111</v>
      </c>
      <c r="AL80" s="3337">
        <v>109</v>
      </c>
      <c r="AM80" s="3338">
        <v>124</v>
      </c>
      <c r="AN80" s="3339">
        <v>180</v>
      </c>
      <c r="AO80" s="3340">
        <v>118</v>
      </c>
      <c r="AP80" s="3340">
        <v>148</v>
      </c>
      <c r="AQ80" s="3340">
        <v>100</v>
      </c>
      <c r="AR80" s="3340">
        <v>129</v>
      </c>
      <c r="AS80" s="3340">
        <v>93</v>
      </c>
      <c r="AT80" s="3340">
        <v>88</v>
      </c>
      <c r="AU80" s="3340">
        <v>74</v>
      </c>
      <c r="AV80" s="3340">
        <v>110</v>
      </c>
      <c r="AW80" s="3340">
        <v>95</v>
      </c>
      <c r="AX80" s="3340">
        <v>136</v>
      </c>
      <c r="AY80" s="3341">
        <v>177</v>
      </c>
      <c r="AZ80" s="3277">
        <v>162</v>
      </c>
      <c r="BA80" s="3277">
        <v>143</v>
      </c>
      <c r="BB80" s="3277">
        <v>142</v>
      </c>
      <c r="BC80" s="3277">
        <v>190</v>
      </c>
      <c r="BD80" s="3277">
        <v>66</v>
      </c>
      <c r="BE80" s="3277">
        <v>108</v>
      </c>
      <c r="BF80" s="3277">
        <v>147</v>
      </c>
      <c r="BG80" s="3277">
        <v>120</v>
      </c>
      <c r="BH80" s="3277">
        <v>122</v>
      </c>
      <c r="BI80" s="3277">
        <v>233</v>
      </c>
      <c r="BJ80" s="3277">
        <v>327</v>
      </c>
      <c r="BK80" s="3374">
        <v>182</v>
      </c>
      <c r="BL80" s="3344">
        <v>251</v>
      </c>
      <c r="BM80" s="3345">
        <v>150</v>
      </c>
      <c r="BN80" s="3345">
        <v>195</v>
      </c>
      <c r="BO80" s="3345">
        <v>172</v>
      </c>
      <c r="BP80" s="3345">
        <v>182</v>
      </c>
      <c r="BQ80" s="3345">
        <v>137</v>
      </c>
      <c r="BR80" s="3345">
        <v>166</v>
      </c>
      <c r="BS80" s="3345">
        <v>178</v>
      </c>
      <c r="BT80" s="3346">
        <v>154</v>
      </c>
      <c r="BU80" s="3346">
        <v>220</v>
      </c>
      <c r="BV80" s="3346">
        <v>229</v>
      </c>
      <c r="BW80" s="3347">
        <v>199</v>
      </c>
      <c r="BX80" s="3348">
        <v>291</v>
      </c>
      <c r="BY80" s="3273">
        <v>256</v>
      </c>
      <c r="BZ80" s="3273">
        <v>196</v>
      </c>
      <c r="CA80" s="3273">
        <v>178</v>
      </c>
      <c r="CB80" s="3273">
        <v>194</v>
      </c>
      <c r="CC80" s="3273">
        <v>139</v>
      </c>
      <c r="CD80" s="3273">
        <v>129</v>
      </c>
      <c r="CE80" s="3273">
        <v>136</v>
      </c>
      <c r="CF80" s="3273">
        <v>181</v>
      </c>
      <c r="CG80" s="3273">
        <v>182</v>
      </c>
      <c r="CH80" s="3273">
        <v>201</v>
      </c>
      <c r="CI80" s="3275">
        <v>247</v>
      </c>
      <c r="CJ80" s="3349">
        <v>283</v>
      </c>
      <c r="CK80" s="3350">
        <v>291</v>
      </c>
      <c r="CL80" s="3350">
        <v>178</v>
      </c>
      <c r="CM80" s="3350">
        <v>224</v>
      </c>
      <c r="CN80" s="3350">
        <v>155</v>
      </c>
      <c r="CO80" s="3350">
        <v>158</v>
      </c>
      <c r="CP80" s="3350">
        <v>153</v>
      </c>
      <c r="CQ80" s="3350">
        <v>165</v>
      </c>
      <c r="CR80" s="3350">
        <v>173</v>
      </c>
      <c r="CS80" s="3350">
        <v>247</v>
      </c>
      <c r="CT80" s="3350">
        <v>240</v>
      </c>
      <c r="CU80" s="3351">
        <v>293</v>
      </c>
      <c r="CV80" s="3349">
        <v>376</v>
      </c>
      <c r="CW80" s="3350">
        <v>163</v>
      </c>
      <c r="CX80" s="3272">
        <v>162</v>
      </c>
      <c r="CY80" s="3272">
        <v>180</v>
      </c>
      <c r="CZ80" s="3272">
        <v>145</v>
      </c>
      <c r="DA80" s="3272">
        <v>118</v>
      </c>
      <c r="DB80" s="3272">
        <v>159</v>
      </c>
      <c r="DC80" s="3272">
        <v>113</v>
      </c>
      <c r="DD80" s="3272">
        <v>185</v>
      </c>
      <c r="DE80" s="3272">
        <v>181</v>
      </c>
      <c r="DF80" s="3272">
        <v>191</v>
      </c>
      <c r="DG80" s="3351">
        <v>200</v>
      </c>
      <c r="DH80" s="3352">
        <v>228</v>
      </c>
      <c r="DI80" s="3353">
        <v>199</v>
      </c>
      <c r="DJ80" s="3353">
        <v>167</v>
      </c>
      <c r="DK80" s="3354">
        <v>147</v>
      </c>
      <c r="DL80" s="3354">
        <v>136</v>
      </c>
      <c r="DM80" s="3354">
        <v>146</v>
      </c>
      <c r="DN80" s="3354">
        <v>117</v>
      </c>
      <c r="DO80" s="3354">
        <v>130</v>
      </c>
      <c r="DP80" s="2556">
        <v>120</v>
      </c>
      <c r="DQ80" s="3354">
        <v>266</v>
      </c>
      <c r="DR80" s="3354">
        <v>200</v>
      </c>
      <c r="DS80" s="3355">
        <v>214</v>
      </c>
      <c r="DT80" s="3356">
        <v>248</v>
      </c>
      <c r="DU80" s="3243">
        <v>204</v>
      </c>
      <c r="DV80" s="3243">
        <v>211</v>
      </c>
      <c r="DW80" s="3164">
        <v>202</v>
      </c>
      <c r="DX80" s="3164">
        <v>142</v>
      </c>
      <c r="DY80" s="3164">
        <v>160</v>
      </c>
      <c r="DZ80" s="3164">
        <v>134</v>
      </c>
      <c r="EA80" s="3164">
        <v>152</v>
      </c>
      <c r="EB80" s="3164">
        <v>185</v>
      </c>
      <c r="EC80" s="3164">
        <v>234</v>
      </c>
      <c r="ED80" s="3164">
        <v>193</v>
      </c>
      <c r="EE80" s="3163">
        <v>296</v>
      </c>
      <c r="EF80" s="2532">
        <v>246</v>
      </c>
      <c r="EG80" s="2531">
        <v>213</v>
      </c>
      <c r="EH80" s="2531">
        <v>182</v>
      </c>
      <c r="EI80" s="2531">
        <v>198</v>
      </c>
      <c r="EJ80" s="2531">
        <v>159</v>
      </c>
      <c r="EK80" s="2531">
        <v>138</v>
      </c>
      <c r="EL80" s="2531">
        <v>169</v>
      </c>
      <c r="EM80" s="2557">
        <v>173</v>
      </c>
      <c r="EN80" s="2557">
        <v>195</v>
      </c>
      <c r="EO80" s="2558">
        <v>203</v>
      </c>
      <c r="EP80" s="2558">
        <v>223</v>
      </c>
      <c r="EQ80" s="2559">
        <v>279</v>
      </c>
      <c r="ER80" s="1320">
        <v>262</v>
      </c>
      <c r="ES80" s="3357">
        <v>212</v>
      </c>
      <c r="ET80" s="3357">
        <v>207</v>
      </c>
      <c r="EU80" s="2560">
        <v>218</v>
      </c>
      <c r="EV80" s="2104">
        <v>155</v>
      </c>
      <c r="EW80" s="2104">
        <v>178</v>
      </c>
      <c r="EX80" s="2104">
        <v>194</v>
      </c>
      <c r="EY80" s="2104">
        <v>225</v>
      </c>
      <c r="EZ80" s="2104">
        <v>226</v>
      </c>
      <c r="FA80" s="2275">
        <v>205</v>
      </c>
      <c r="FB80" s="2275">
        <v>228</v>
      </c>
      <c r="FC80" s="2275">
        <v>316</v>
      </c>
      <c r="FD80" s="2615">
        <v>301</v>
      </c>
      <c r="FE80" s="2616">
        <v>244</v>
      </c>
      <c r="FF80" s="2616">
        <v>104</v>
      </c>
      <c r="FG80" s="2616">
        <v>1</v>
      </c>
      <c r="FH80" s="2616">
        <v>1</v>
      </c>
      <c r="FI80" s="2616">
        <v>9</v>
      </c>
      <c r="FJ80" s="2616">
        <v>6</v>
      </c>
      <c r="FK80" s="2616">
        <v>22</v>
      </c>
      <c r="FL80" s="2616">
        <v>33</v>
      </c>
      <c r="FM80" s="2616">
        <v>56</v>
      </c>
      <c r="FN80" s="2616">
        <v>64</v>
      </c>
      <c r="FO80" s="2617">
        <v>67</v>
      </c>
      <c r="FP80" s="2615">
        <v>92</v>
      </c>
      <c r="FQ80" s="2616">
        <v>69</v>
      </c>
      <c r="FR80" s="2616">
        <v>89</v>
      </c>
      <c r="FS80" s="2616">
        <v>87</v>
      </c>
      <c r="FT80" s="2616">
        <v>61</v>
      </c>
      <c r="FU80" s="2616"/>
      <c r="FV80" s="2616"/>
      <c r="FW80" s="2616"/>
      <c r="FX80" s="2616"/>
      <c r="FY80" s="2616"/>
      <c r="FZ80" s="2616"/>
      <c r="GA80" s="2618"/>
      <c r="GB80" s="2607"/>
      <c r="GC80" s="2754">
        <v>307</v>
      </c>
      <c r="GD80" s="2755">
        <v>294</v>
      </c>
      <c r="GE80" s="2755">
        <v>330</v>
      </c>
      <c r="GF80" s="2756">
        <v>493</v>
      </c>
      <c r="GG80" s="2757">
        <v>494</v>
      </c>
      <c r="GH80" s="2758">
        <v>345</v>
      </c>
      <c r="GI80" s="2758">
        <v>349</v>
      </c>
      <c r="GJ80" s="2759">
        <v>578</v>
      </c>
      <c r="GK80" s="2760">
        <v>461</v>
      </c>
      <c r="GL80" s="2761">
        <v>396</v>
      </c>
      <c r="GM80" s="2762">
        <v>402</v>
      </c>
      <c r="GN80" s="2762">
        <v>344</v>
      </c>
      <c r="GO80" s="2763">
        <v>446</v>
      </c>
      <c r="GP80" s="2764">
        <v>322</v>
      </c>
      <c r="GQ80" s="2764">
        <v>272</v>
      </c>
      <c r="GR80" s="2765">
        <v>408</v>
      </c>
      <c r="GS80" s="2766">
        <v>447</v>
      </c>
      <c r="GT80" s="2767">
        <v>364</v>
      </c>
      <c r="GU80" s="2767">
        <v>389</v>
      </c>
      <c r="GV80" s="2768">
        <v>742</v>
      </c>
      <c r="GW80" s="2764">
        <v>596</v>
      </c>
      <c r="GX80" s="2764">
        <v>491</v>
      </c>
      <c r="GY80" s="2764">
        <v>498</v>
      </c>
      <c r="GZ80" s="2764">
        <v>648</v>
      </c>
      <c r="HA80" s="2769">
        <v>743</v>
      </c>
      <c r="HB80" s="2769">
        <v>511</v>
      </c>
      <c r="HC80" s="2769">
        <v>446</v>
      </c>
      <c r="HD80" s="2769">
        <v>630</v>
      </c>
      <c r="HE80" s="2770">
        <v>752</v>
      </c>
      <c r="HF80" s="2770">
        <v>537</v>
      </c>
      <c r="HG80" s="2770">
        <f t="shared" si="17"/>
        <v>491</v>
      </c>
      <c r="HH80" s="2770">
        <v>780</v>
      </c>
      <c r="HI80" s="2771">
        <v>701</v>
      </c>
      <c r="HJ80" s="2771">
        <f t="shared" si="18"/>
        <v>443</v>
      </c>
      <c r="HK80" s="2771">
        <f t="shared" si="19"/>
        <v>457</v>
      </c>
      <c r="HL80" s="2770">
        <f t="shared" si="20"/>
        <v>572</v>
      </c>
      <c r="HM80" s="2689">
        <f t="shared" si="21"/>
        <v>594</v>
      </c>
      <c r="HN80" s="2689">
        <f t="shared" si="22"/>
        <v>429</v>
      </c>
      <c r="HO80" s="2689">
        <f t="shared" si="23"/>
        <v>461</v>
      </c>
      <c r="HP80" s="2689">
        <f t="shared" si="24"/>
        <v>680</v>
      </c>
      <c r="HQ80" s="2764">
        <f t="shared" si="25"/>
        <v>663</v>
      </c>
      <c r="HR80" s="2764">
        <f t="shared" si="26"/>
        <v>504</v>
      </c>
      <c r="HS80" s="2764">
        <f t="shared" si="27"/>
        <v>471</v>
      </c>
      <c r="HT80" s="2764">
        <f t="shared" si="28"/>
        <v>723</v>
      </c>
      <c r="HU80" s="2772">
        <f t="shared" si="29"/>
        <v>641</v>
      </c>
      <c r="HV80" s="2769">
        <f t="shared" si="30"/>
        <v>495</v>
      </c>
      <c r="HW80" s="2769">
        <f t="shared" si="31"/>
        <v>537</v>
      </c>
      <c r="HX80" s="2769">
        <f t="shared" si="32"/>
        <v>705</v>
      </c>
      <c r="HY80" s="2773">
        <f t="shared" si="33"/>
        <v>681</v>
      </c>
      <c r="HZ80" s="2774">
        <f t="shared" si="34"/>
        <v>551</v>
      </c>
      <c r="IA80" s="2774">
        <f t="shared" si="35"/>
        <v>645</v>
      </c>
      <c r="IB80" s="2774">
        <f t="shared" si="36"/>
        <v>749</v>
      </c>
      <c r="IC80" s="2775">
        <f t="shared" si="65"/>
        <v>649</v>
      </c>
      <c r="ID80" s="2776">
        <f t="shared" si="66"/>
        <v>11</v>
      </c>
      <c r="IE80" s="2776">
        <f t="shared" si="67"/>
        <v>61</v>
      </c>
      <c r="IF80" s="2777">
        <f t="shared" si="68"/>
        <v>187</v>
      </c>
      <c r="IG80" s="2772">
        <f t="shared" si="51"/>
        <v>250</v>
      </c>
      <c r="IH80" s="2769">
        <f t="shared" si="52"/>
        <v>148</v>
      </c>
      <c r="II80" s="2769">
        <f t="shared" si="53"/>
        <v>0</v>
      </c>
      <c r="IJ80" s="2769">
        <f t="shared" si="54"/>
        <v>0</v>
      </c>
      <c r="IK80" s="2578"/>
      <c r="IL80" s="3358">
        <v>1424</v>
      </c>
      <c r="IM80" s="3359">
        <v>1766</v>
      </c>
      <c r="IN80" s="3359">
        <v>1603</v>
      </c>
      <c r="IO80" s="3359">
        <v>1448</v>
      </c>
      <c r="IP80" s="3359">
        <v>1942</v>
      </c>
      <c r="IQ80" s="3359">
        <v>2233</v>
      </c>
      <c r="IR80" s="3360">
        <v>2330</v>
      </c>
      <c r="IS80" s="3361">
        <v>2560</v>
      </c>
      <c r="IT80" s="3361">
        <f t="shared" si="37"/>
        <v>2173</v>
      </c>
      <c r="IU80" s="3361">
        <f t="shared" si="38"/>
        <v>2070</v>
      </c>
      <c r="IV80" s="3361">
        <f t="shared" si="39"/>
        <v>2361</v>
      </c>
      <c r="IW80" s="3361">
        <f t="shared" si="40"/>
        <v>2378</v>
      </c>
      <c r="IX80" s="3362">
        <f t="shared" si="55"/>
        <v>2626</v>
      </c>
      <c r="IY80" s="3380">
        <f t="shared" si="69"/>
        <v>908</v>
      </c>
      <c r="IZ80" s="3378">
        <f t="shared" si="57"/>
        <v>524</v>
      </c>
      <c r="JA80" s="3579">
        <f t="shared" si="58"/>
        <v>398</v>
      </c>
      <c r="JC80" s="3365">
        <f t="shared" si="59"/>
        <v>716</v>
      </c>
      <c r="JD80" s="3366">
        <f t="shared" si="42"/>
        <v>3.2981425243696085E-3</v>
      </c>
      <c r="JE80" s="3366">
        <f t="shared" si="43"/>
        <v>3.6160023034593242E-3</v>
      </c>
      <c r="JF80" s="3366">
        <f t="shared" si="60"/>
        <v>3.474627040137933E-3</v>
      </c>
      <c r="JG80" s="3366">
        <f t="shared" si="56"/>
        <v>3.8369935270825112E-3</v>
      </c>
      <c r="JH80" s="3366">
        <f t="shared" si="61"/>
        <v>4.7684818057211276E-3</v>
      </c>
      <c r="JI80" s="3379">
        <f t="shared" si="62"/>
        <v>1.8647952284018279E-3</v>
      </c>
      <c r="JJ80" s="3366"/>
      <c r="JK80" s="3368">
        <f t="shared" si="44"/>
        <v>0.14057971014492754</v>
      </c>
      <c r="JL80" s="3369">
        <f t="shared" si="45"/>
        <v>-0.65410628019323669</v>
      </c>
      <c r="JM80" s="3369">
        <f t="shared" si="46"/>
        <v>7.2003388394747958E-3</v>
      </c>
      <c r="JN80" s="3369">
        <f t="shared" si="46"/>
        <v>0.10428931875525649</v>
      </c>
      <c r="JO80" s="3369">
        <f t="shared" si="46"/>
        <v>-0.65422696115765422</v>
      </c>
      <c r="JP80" s="3370">
        <f t="shared" si="63"/>
        <v>-0.80045696877380046</v>
      </c>
      <c r="JQ80" s="3371">
        <f t="shared" si="64"/>
        <v>-0.4229074889867841</v>
      </c>
      <c r="JS80" s="3045"/>
      <c r="JT80" s="3045"/>
      <c r="JU80" s="3045"/>
      <c r="JV80" s="3045"/>
      <c r="JW80" s="3045"/>
      <c r="JX80" s="3045"/>
      <c r="JY80" s="3045"/>
      <c r="JZ80" s="3045"/>
      <c r="KA80" s="3045"/>
      <c r="KB80" s="3045"/>
      <c r="KC80" s="3045"/>
      <c r="KD80" s="3045"/>
      <c r="KE80" s="3045"/>
      <c r="KF80" s="3045"/>
      <c r="KG80" s="3045"/>
      <c r="KH80" s="3045"/>
      <c r="KI80" s="3045"/>
      <c r="KJ80" s="3045"/>
      <c r="KK80" s="3045"/>
      <c r="KL80" s="3045"/>
      <c r="KM80" s="3045"/>
      <c r="KN80" s="3045"/>
      <c r="KO80" s="3045"/>
    </row>
    <row r="81" spans="1:301" ht="21.9" customHeight="1">
      <c r="A81" s="3382"/>
      <c r="B81" s="3045"/>
      <c r="C81" s="3099" t="s">
        <v>24</v>
      </c>
      <c r="D81" s="3383">
        <v>90</v>
      </c>
      <c r="E81" s="3384">
        <v>70</v>
      </c>
      <c r="F81" s="3384">
        <v>94</v>
      </c>
      <c r="G81" s="3384">
        <v>80</v>
      </c>
      <c r="H81" s="3384">
        <v>77</v>
      </c>
      <c r="I81" s="3384">
        <v>104</v>
      </c>
      <c r="J81" s="3384">
        <v>112</v>
      </c>
      <c r="K81" s="3384">
        <v>170</v>
      </c>
      <c r="L81" s="3384">
        <v>120</v>
      </c>
      <c r="M81" s="3384">
        <v>184</v>
      </c>
      <c r="N81" s="3384">
        <v>125</v>
      </c>
      <c r="O81" s="3385">
        <v>60</v>
      </c>
      <c r="P81" s="3333">
        <v>96</v>
      </c>
      <c r="Q81" s="3334">
        <v>129</v>
      </c>
      <c r="R81" s="3334">
        <v>105</v>
      </c>
      <c r="S81" s="3334">
        <v>118</v>
      </c>
      <c r="T81" s="3334">
        <v>121</v>
      </c>
      <c r="U81" s="3334">
        <v>112</v>
      </c>
      <c r="V81" s="3334">
        <v>164</v>
      </c>
      <c r="W81" s="3334">
        <v>138</v>
      </c>
      <c r="X81" s="3334">
        <v>125</v>
      </c>
      <c r="Y81" s="3334">
        <v>137</v>
      </c>
      <c r="Z81" s="3334">
        <v>167</v>
      </c>
      <c r="AA81" s="3335">
        <v>102</v>
      </c>
      <c r="AB81" s="3336">
        <v>111</v>
      </c>
      <c r="AC81" s="3337">
        <v>90</v>
      </c>
      <c r="AD81" s="3337">
        <v>127</v>
      </c>
      <c r="AE81" s="3337">
        <v>124</v>
      </c>
      <c r="AF81" s="3337">
        <v>129.5</v>
      </c>
      <c r="AG81" s="3337">
        <v>135</v>
      </c>
      <c r="AH81" s="3337">
        <v>136</v>
      </c>
      <c r="AI81" s="3337">
        <v>128</v>
      </c>
      <c r="AJ81" s="3337">
        <v>105</v>
      </c>
      <c r="AK81" s="3337">
        <v>161</v>
      </c>
      <c r="AL81" s="3337">
        <v>145</v>
      </c>
      <c r="AM81" s="3338">
        <v>92</v>
      </c>
      <c r="AN81" s="3339">
        <v>110</v>
      </c>
      <c r="AO81" s="3340">
        <v>117</v>
      </c>
      <c r="AP81" s="3340">
        <v>126</v>
      </c>
      <c r="AQ81" s="3340">
        <v>133</v>
      </c>
      <c r="AR81" s="3340">
        <v>112</v>
      </c>
      <c r="AS81" s="3340">
        <v>130</v>
      </c>
      <c r="AT81" s="3340">
        <v>106</v>
      </c>
      <c r="AU81" s="3340">
        <v>129</v>
      </c>
      <c r="AV81" s="3340">
        <v>98</v>
      </c>
      <c r="AW81" s="3340">
        <v>102</v>
      </c>
      <c r="AX81" s="3340">
        <v>193</v>
      </c>
      <c r="AY81" s="3341">
        <v>110</v>
      </c>
      <c r="AZ81" s="3277">
        <v>120</v>
      </c>
      <c r="BA81" s="3277">
        <v>131</v>
      </c>
      <c r="BB81" s="3277">
        <v>181</v>
      </c>
      <c r="BC81" s="3277">
        <v>146</v>
      </c>
      <c r="BD81" s="3277">
        <v>119</v>
      </c>
      <c r="BE81" s="3277">
        <v>111</v>
      </c>
      <c r="BF81" s="3277">
        <v>135</v>
      </c>
      <c r="BG81" s="3277">
        <v>117</v>
      </c>
      <c r="BH81" s="3277">
        <v>146</v>
      </c>
      <c r="BI81" s="3277">
        <v>146</v>
      </c>
      <c r="BJ81" s="3277">
        <v>146</v>
      </c>
      <c r="BK81" s="3374">
        <v>94</v>
      </c>
      <c r="BL81" s="3344">
        <v>88</v>
      </c>
      <c r="BM81" s="3345">
        <v>92</v>
      </c>
      <c r="BN81" s="3345">
        <v>110</v>
      </c>
      <c r="BO81" s="3345">
        <v>169</v>
      </c>
      <c r="BP81" s="3345">
        <v>178</v>
      </c>
      <c r="BQ81" s="3345">
        <v>182</v>
      </c>
      <c r="BR81" s="3345">
        <v>203</v>
      </c>
      <c r="BS81" s="3345">
        <v>98</v>
      </c>
      <c r="BT81" s="3346">
        <v>163</v>
      </c>
      <c r="BU81" s="3346">
        <v>160</v>
      </c>
      <c r="BV81" s="3346">
        <v>216</v>
      </c>
      <c r="BW81" s="3347">
        <v>139</v>
      </c>
      <c r="BX81" s="3348">
        <v>147</v>
      </c>
      <c r="BY81" s="3273">
        <v>131</v>
      </c>
      <c r="BZ81" s="3273">
        <v>146</v>
      </c>
      <c r="CA81" s="3273">
        <v>150</v>
      </c>
      <c r="CB81" s="3273">
        <v>161</v>
      </c>
      <c r="CC81" s="3273">
        <v>198</v>
      </c>
      <c r="CD81" s="3273">
        <v>154</v>
      </c>
      <c r="CE81" s="3273">
        <v>173</v>
      </c>
      <c r="CF81" s="3273">
        <v>155</v>
      </c>
      <c r="CG81" s="3273">
        <v>288</v>
      </c>
      <c r="CH81" s="3273">
        <v>181</v>
      </c>
      <c r="CI81" s="3275">
        <v>120</v>
      </c>
      <c r="CJ81" s="3349">
        <v>145</v>
      </c>
      <c r="CK81" s="3350">
        <v>146</v>
      </c>
      <c r="CL81" s="3350">
        <v>144</v>
      </c>
      <c r="CM81" s="3350">
        <v>156</v>
      </c>
      <c r="CN81" s="3350">
        <v>133</v>
      </c>
      <c r="CO81" s="3350">
        <v>125</v>
      </c>
      <c r="CP81" s="3350">
        <v>156</v>
      </c>
      <c r="CQ81" s="3350">
        <v>183</v>
      </c>
      <c r="CR81" s="3350">
        <v>249</v>
      </c>
      <c r="CS81" s="3350">
        <v>141</v>
      </c>
      <c r="CT81" s="3350">
        <v>221</v>
      </c>
      <c r="CU81" s="3351">
        <v>169</v>
      </c>
      <c r="CV81" s="3349">
        <v>176</v>
      </c>
      <c r="CW81" s="3350">
        <v>115</v>
      </c>
      <c r="CX81" s="3272">
        <v>180</v>
      </c>
      <c r="CY81" s="3272">
        <v>180</v>
      </c>
      <c r="CZ81" s="3272">
        <v>192</v>
      </c>
      <c r="DA81" s="3272">
        <v>170</v>
      </c>
      <c r="DB81" s="3272">
        <v>148</v>
      </c>
      <c r="DC81" s="3272">
        <v>190</v>
      </c>
      <c r="DD81" s="3272">
        <v>162</v>
      </c>
      <c r="DE81" s="3272">
        <v>176</v>
      </c>
      <c r="DF81" s="3272">
        <v>180</v>
      </c>
      <c r="DG81" s="3351">
        <v>130</v>
      </c>
      <c r="DH81" s="3352">
        <v>160</v>
      </c>
      <c r="DI81" s="3353">
        <v>120</v>
      </c>
      <c r="DJ81" s="3353">
        <v>153</v>
      </c>
      <c r="DK81" s="3354">
        <v>121</v>
      </c>
      <c r="DL81" s="3354">
        <v>126</v>
      </c>
      <c r="DM81" s="3354">
        <v>187</v>
      </c>
      <c r="DN81" s="3354">
        <v>148</v>
      </c>
      <c r="DO81" s="3354">
        <v>133</v>
      </c>
      <c r="DP81" s="2556">
        <v>126</v>
      </c>
      <c r="DQ81" s="3354">
        <v>231</v>
      </c>
      <c r="DR81" s="3354">
        <v>192</v>
      </c>
      <c r="DS81" s="3355">
        <v>155</v>
      </c>
      <c r="DT81" s="3356">
        <v>279</v>
      </c>
      <c r="DU81" s="3243">
        <v>182</v>
      </c>
      <c r="DV81" s="3243">
        <v>147</v>
      </c>
      <c r="DW81" s="3164">
        <v>152</v>
      </c>
      <c r="DX81" s="3164">
        <v>125</v>
      </c>
      <c r="DY81" s="3164">
        <v>152</v>
      </c>
      <c r="DZ81" s="3164">
        <v>203</v>
      </c>
      <c r="EA81" s="3164">
        <v>198</v>
      </c>
      <c r="EB81" s="3164">
        <v>213</v>
      </c>
      <c r="EC81" s="3164">
        <v>185</v>
      </c>
      <c r="ED81" s="3164">
        <v>205</v>
      </c>
      <c r="EE81" s="3163">
        <v>242</v>
      </c>
      <c r="EF81" s="2532">
        <v>240</v>
      </c>
      <c r="EG81" s="2531">
        <v>134</v>
      </c>
      <c r="EH81" s="2531">
        <v>197</v>
      </c>
      <c r="EI81" s="2531">
        <v>152</v>
      </c>
      <c r="EJ81" s="2531">
        <v>183</v>
      </c>
      <c r="EK81" s="2531">
        <v>238</v>
      </c>
      <c r="EL81" s="2531">
        <v>201</v>
      </c>
      <c r="EM81" s="2557">
        <v>184</v>
      </c>
      <c r="EN81" s="2557">
        <v>193</v>
      </c>
      <c r="EO81" s="2558">
        <v>217</v>
      </c>
      <c r="EP81" s="2558">
        <v>232</v>
      </c>
      <c r="EQ81" s="2559">
        <v>203</v>
      </c>
      <c r="ER81" s="1324">
        <v>191</v>
      </c>
      <c r="ES81" s="3357">
        <v>196</v>
      </c>
      <c r="ET81" s="3357">
        <v>245</v>
      </c>
      <c r="EU81" s="2560">
        <v>262</v>
      </c>
      <c r="EV81" s="2108">
        <v>175</v>
      </c>
      <c r="EW81" s="2108">
        <v>225</v>
      </c>
      <c r="EX81" s="2108">
        <v>197</v>
      </c>
      <c r="EY81" s="2108">
        <v>272</v>
      </c>
      <c r="EZ81" s="2108">
        <v>228</v>
      </c>
      <c r="FA81" s="2276">
        <v>183</v>
      </c>
      <c r="FB81" s="2276">
        <v>245</v>
      </c>
      <c r="FC81" s="2276">
        <v>178</v>
      </c>
      <c r="FD81" s="2608">
        <v>190</v>
      </c>
      <c r="FE81" s="2609">
        <v>181</v>
      </c>
      <c r="FF81" s="2609">
        <v>73</v>
      </c>
      <c r="FG81" s="2609"/>
      <c r="FH81" s="2609">
        <v>1</v>
      </c>
      <c r="FI81" s="2609">
        <v>2</v>
      </c>
      <c r="FJ81" s="2609">
        <v>8</v>
      </c>
      <c r="FK81" s="2609">
        <v>2</v>
      </c>
      <c r="FL81" s="2609">
        <v>19</v>
      </c>
      <c r="FM81" s="2609">
        <v>33</v>
      </c>
      <c r="FN81" s="2609">
        <v>23</v>
      </c>
      <c r="FO81" s="2610">
        <v>34</v>
      </c>
      <c r="FP81" s="2608">
        <v>60</v>
      </c>
      <c r="FQ81" s="2609">
        <v>26</v>
      </c>
      <c r="FR81" s="2609">
        <v>71</v>
      </c>
      <c r="FS81" s="2609">
        <v>33</v>
      </c>
      <c r="FT81" s="2609">
        <v>46</v>
      </c>
      <c r="FU81" s="2609"/>
      <c r="FV81" s="2609"/>
      <c r="FW81" s="2609"/>
      <c r="FX81" s="2609"/>
      <c r="FY81" s="2609"/>
      <c r="FZ81" s="2609"/>
      <c r="GA81" s="2614"/>
      <c r="GB81" s="2607"/>
      <c r="GC81" s="2754">
        <v>254</v>
      </c>
      <c r="GD81" s="2755">
        <v>261</v>
      </c>
      <c r="GE81" s="2755">
        <v>402</v>
      </c>
      <c r="GF81" s="2756">
        <v>369</v>
      </c>
      <c r="GG81" s="2757">
        <v>330</v>
      </c>
      <c r="GH81" s="2758">
        <v>351</v>
      </c>
      <c r="GI81" s="2758">
        <v>427</v>
      </c>
      <c r="GJ81" s="2759">
        <v>406</v>
      </c>
      <c r="GK81" s="2760">
        <v>328</v>
      </c>
      <c r="GL81" s="2761">
        <v>388.5</v>
      </c>
      <c r="GM81" s="2762">
        <v>369</v>
      </c>
      <c r="GN81" s="2762">
        <v>398</v>
      </c>
      <c r="GO81" s="2763">
        <v>353</v>
      </c>
      <c r="GP81" s="2764">
        <v>375</v>
      </c>
      <c r="GQ81" s="2764">
        <v>333</v>
      </c>
      <c r="GR81" s="2765">
        <v>405</v>
      </c>
      <c r="GS81" s="2766">
        <v>432</v>
      </c>
      <c r="GT81" s="2767">
        <v>376</v>
      </c>
      <c r="GU81" s="2767">
        <v>398</v>
      </c>
      <c r="GV81" s="2768">
        <v>386</v>
      </c>
      <c r="GW81" s="2764">
        <v>290</v>
      </c>
      <c r="GX81" s="2764">
        <v>529</v>
      </c>
      <c r="GY81" s="2764">
        <v>464</v>
      </c>
      <c r="GZ81" s="2764">
        <v>515</v>
      </c>
      <c r="HA81" s="2769">
        <v>424</v>
      </c>
      <c r="HB81" s="2769">
        <v>509</v>
      </c>
      <c r="HC81" s="2769">
        <v>482</v>
      </c>
      <c r="HD81" s="2769">
        <v>589</v>
      </c>
      <c r="HE81" s="2770">
        <v>435</v>
      </c>
      <c r="HF81" s="2770">
        <v>414</v>
      </c>
      <c r="HG81" s="2770">
        <f t="shared" si="17"/>
        <v>588</v>
      </c>
      <c r="HH81" s="2770">
        <v>531</v>
      </c>
      <c r="HI81" s="2771">
        <v>471</v>
      </c>
      <c r="HJ81" s="2771">
        <f t="shared" si="18"/>
        <v>542</v>
      </c>
      <c r="HK81" s="2771">
        <f t="shared" si="19"/>
        <v>500</v>
      </c>
      <c r="HL81" s="2770">
        <f t="shared" si="20"/>
        <v>486</v>
      </c>
      <c r="HM81" s="2689">
        <f t="shared" si="21"/>
        <v>433</v>
      </c>
      <c r="HN81" s="2689">
        <f t="shared" si="22"/>
        <v>434</v>
      </c>
      <c r="HO81" s="2689">
        <f t="shared" si="23"/>
        <v>436</v>
      </c>
      <c r="HP81" s="2689">
        <f t="shared" si="24"/>
        <v>578</v>
      </c>
      <c r="HQ81" s="2764">
        <f t="shared" si="25"/>
        <v>608</v>
      </c>
      <c r="HR81" s="2764">
        <f t="shared" si="26"/>
        <v>429</v>
      </c>
      <c r="HS81" s="2764">
        <f t="shared" si="27"/>
        <v>614</v>
      </c>
      <c r="HT81" s="2764">
        <f t="shared" si="28"/>
        <v>632</v>
      </c>
      <c r="HU81" s="2772">
        <f t="shared" si="29"/>
        <v>571</v>
      </c>
      <c r="HV81" s="2769">
        <f t="shared" si="30"/>
        <v>573</v>
      </c>
      <c r="HW81" s="2769">
        <f t="shared" si="31"/>
        <v>578</v>
      </c>
      <c r="HX81" s="2769">
        <f t="shared" si="32"/>
        <v>652</v>
      </c>
      <c r="HY81" s="2773">
        <f t="shared" si="33"/>
        <v>632</v>
      </c>
      <c r="HZ81" s="2774">
        <f t="shared" si="34"/>
        <v>662</v>
      </c>
      <c r="IA81" s="2774">
        <f t="shared" si="35"/>
        <v>697</v>
      </c>
      <c r="IB81" s="2774">
        <f t="shared" si="36"/>
        <v>606</v>
      </c>
      <c r="IC81" s="2775">
        <f t="shared" si="65"/>
        <v>444</v>
      </c>
      <c r="ID81" s="2776">
        <f t="shared" si="66"/>
        <v>3</v>
      </c>
      <c r="IE81" s="2776">
        <f t="shared" si="67"/>
        <v>29</v>
      </c>
      <c r="IF81" s="2777">
        <f t="shared" si="68"/>
        <v>90</v>
      </c>
      <c r="IG81" s="2772">
        <f t="shared" si="51"/>
        <v>157</v>
      </c>
      <c r="IH81" s="2769">
        <f t="shared" si="52"/>
        <v>79</v>
      </c>
      <c r="II81" s="2769">
        <f t="shared" si="53"/>
        <v>0</v>
      </c>
      <c r="IJ81" s="2769">
        <f t="shared" si="54"/>
        <v>0</v>
      </c>
      <c r="IK81" s="2578"/>
      <c r="IL81" s="3358">
        <v>1286</v>
      </c>
      <c r="IM81" s="3359">
        <v>1514</v>
      </c>
      <c r="IN81" s="3359">
        <v>1483.5</v>
      </c>
      <c r="IO81" s="3359">
        <v>1466</v>
      </c>
      <c r="IP81" s="3359">
        <v>1592</v>
      </c>
      <c r="IQ81" s="3359">
        <v>1798</v>
      </c>
      <c r="IR81" s="3360">
        <v>2004</v>
      </c>
      <c r="IS81" s="3361">
        <v>1968</v>
      </c>
      <c r="IT81" s="3361">
        <f t="shared" si="37"/>
        <v>1999</v>
      </c>
      <c r="IU81" s="3361">
        <f t="shared" si="38"/>
        <v>1852</v>
      </c>
      <c r="IV81" s="3361">
        <f t="shared" si="39"/>
        <v>2283</v>
      </c>
      <c r="IW81" s="3361">
        <f t="shared" si="40"/>
        <v>2374</v>
      </c>
      <c r="IX81" s="3362">
        <f t="shared" si="55"/>
        <v>2597</v>
      </c>
      <c r="IY81" s="3380">
        <f t="shared" si="69"/>
        <v>566</v>
      </c>
      <c r="IZ81" s="3378">
        <f t="shared" si="57"/>
        <v>281</v>
      </c>
      <c r="JA81" s="3579">
        <f t="shared" si="58"/>
        <v>236</v>
      </c>
      <c r="JC81" s="3365">
        <f t="shared" si="59"/>
        <v>423.5</v>
      </c>
      <c r="JD81" s="3366">
        <f t="shared" si="42"/>
        <v>2.9508019106920364E-3</v>
      </c>
      <c r="JE81" s="3366">
        <f t="shared" si="43"/>
        <v>3.4965409821252169E-3</v>
      </c>
      <c r="JF81" s="3366">
        <f t="shared" si="60"/>
        <v>3.4687824193807624E-3</v>
      </c>
      <c r="JG81" s="3366">
        <f t="shared" si="56"/>
        <v>3.7946200265930245E-3</v>
      </c>
      <c r="JH81" s="3366">
        <f t="shared" si="61"/>
        <v>2.9724236806587647E-3</v>
      </c>
      <c r="JI81" s="3379">
        <f t="shared" si="62"/>
        <v>1.0000142350780794E-3</v>
      </c>
      <c r="JJ81" s="3366"/>
      <c r="JK81" s="3368">
        <f t="shared" si="44"/>
        <v>0.23272138228941674</v>
      </c>
      <c r="JL81" s="3369">
        <f t="shared" si="45"/>
        <v>-0.77132829373650114</v>
      </c>
      <c r="JM81" s="3369">
        <f t="shared" si="46"/>
        <v>3.985983355234346E-2</v>
      </c>
      <c r="JN81" s="3369">
        <f t="shared" si="46"/>
        <v>9.3934288121314324E-2</v>
      </c>
      <c r="JO81" s="3369">
        <f t="shared" si="46"/>
        <v>-0.78205621871390063</v>
      </c>
      <c r="JP81" s="3370">
        <f t="shared" si="63"/>
        <v>-0.89179822872545245</v>
      </c>
      <c r="JQ81" s="3371">
        <f t="shared" si="64"/>
        <v>-0.50353356890459366</v>
      </c>
    </row>
    <row r="82" spans="1:301" ht="21.9" customHeight="1">
      <c r="A82" s="3382"/>
      <c r="B82" s="3045"/>
      <c r="C82" s="3381" t="s">
        <v>28</v>
      </c>
      <c r="D82" s="3383">
        <v>138</v>
      </c>
      <c r="E82" s="3384">
        <v>149</v>
      </c>
      <c r="F82" s="3384">
        <v>93</v>
      </c>
      <c r="G82" s="3384">
        <v>71</v>
      </c>
      <c r="H82" s="3384">
        <v>66</v>
      </c>
      <c r="I82" s="3384">
        <v>73</v>
      </c>
      <c r="J82" s="3384">
        <v>273</v>
      </c>
      <c r="K82" s="3384">
        <v>222</v>
      </c>
      <c r="L82" s="3384">
        <v>113</v>
      </c>
      <c r="M82" s="3384">
        <v>166</v>
      </c>
      <c r="N82" s="3384">
        <v>134</v>
      </c>
      <c r="O82" s="3385">
        <v>162</v>
      </c>
      <c r="P82" s="3333">
        <v>167</v>
      </c>
      <c r="Q82" s="3334">
        <v>188</v>
      </c>
      <c r="R82" s="3334">
        <v>94</v>
      </c>
      <c r="S82" s="3334">
        <v>113</v>
      </c>
      <c r="T82" s="3334">
        <v>105</v>
      </c>
      <c r="U82" s="3334">
        <v>120</v>
      </c>
      <c r="V82" s="3334">
        <v>255</v>
      </c>
      <c r="W82" s="3334">
        <v>170</v>
      </c>
      <c r="X82" s="3334">
        <v>131</v>
      </c>
      <c r="Y82" s="3334">
        <v>185</v>
      </c>
      <c r="Z82" s="3334">
        <v>164</v>
      </c>
      <c r="AA82" s="3335">
        <v>159</v>
      </c>
      <c r="AB82" s="3336">
        <v>134</v>
      </c>
      <c r="AC82" s="3337">
        <v>96</v>
      </c>
      <c r="AD82" s="3337">
        <v>90</v>
      </c>
      <c r="AE82" s="3337">
        <v>110</v>
      </c>
      <c r="AF82" s="3337">
        <v>119</v>
      </c>
      <c r="AG82" s="3337">
        <v>128</v>
      </c>
      <c r="AH82" s="3337">
        <v>272</v>
      </c>
      <c r="AI82" s="3337">
        <v>165</v>
      </c>
      <c r="AJ82" s="3337">
        <v>119</v>
      </c>
      <c r="AK82" s="3337">
        <v>146</v>
      </c>
      <c r="AL82" s="3337">
        <v>215</v>
      </c>
      <c r="AM82" s="3338">
        <v>170</v>
      </c>
      <c r="AN82" s="3339">
        <v>177</v>
      </c>
      <c r="AO82" s="3340">
        <v>92</v>
      </c>
      <c r="AP82" s="3340">
        <v>146</v>
      </c>
      <c r="AQ82" s="3340">
        <v>95</v>
      </c>
      <c r="AR82" s="3340">
        <v>91</v>
      </c>
      <c r="AS82" s="3340">
        <v>100</v>
      </c>
      <c r="AT82" s="3340">
        <v>236</v>
      </c>
      <c r="AU82" s="3340">
        <v>185</v>
      </c>
      <c r="AV82" s="3340">
        <v>102</v>
      </c>
      <c r="AW82" s="3340">
        <v>65</v>
      </c>
      <c r="AX82" s="3340">
        <v>181</v>
      </c>
      <c r="AY82" s="3341">
        <v>133</v>
      </c>
      <c r="AZ82" s="3277">
        <v>124</v>
      </c>
      <c r="BA82" s="3277">
        <v>128</v>
      </c>
      <c r="BB82" s="3277">
        <v>97</v>
      </c>
      <c r="BC82" s="3277">
        <v>97</v>
      </c>
      <c r="BD82" s="3277">
        <v>73</v>
      </c>
      <c r="BE82" s="3277">
        <v>87</v>
      </c>
      <c r="BF82" s="3277">
        <v>232</v>
      </c>
      <c r="BG82" s="3277">
        <v>210</v>
      </c>
      <c r="BH82" s="3277">
        <v>131</v>
      </c>
      <c r="BI82" s="3277">
        <v>157</v>
      </c>
      <c r="BJ82" s="3277">
        <v>200</v>
      </c>
      <c r="BK82" s="3374">
        <v>130</v>
      </c>
      <c r="BL82" s="3344">
        <v>157</v>
      </c>
      <c r="BM82" s="3345">
        <v>139</v>
      </c>
      <c r="BN82" s="3345">
        <v>112</v>
      </c>
      <c r="BO82" s="3345">
        <v>105</v>
      </c>
      <c r="BP82" s="3345">
        <v>107</v>
      </c>
      <c r="BQ82" s="3345">
        <v>110</v>
      </c>
      <c r="BR82" s="3345">
        <v>321</v>
      </c>
      <c r="BS82" s="3345">
        <v>252</v>
      </c>
      <c r="BT82" s="3346">
        <v>119</v>
      </c>
      <c r="BU82" s="3346">
        <v>185</v>
      </c>
      <c r="BV82" s="3346">
        <v>180</v>
      </c>
      <c r="BW82" s="3347">
        <v>215</v>
      </c>
      <c r="BX82" s="3348">
        <v>188</v>
      </c>
      <c r="BY82" s="3273">
        <v>155</v>
      </c>
      <c r="BZ82" s="3273">
        <v>124</v>
      </c>
      <c r="CA82" s="3273">
        <v>85</v>
      </c>
      <c r="CB82" s="3273">
        <v>98</v>
      </c>
      <c r="CC82" s="3273">
        <v>116</v>
      </c>
      <c r="CD82" s="3273">
        <v>334</v>
      </c>
      <c r="CE82" s="3273">
        <v>184</v>
      </c>
      <c r="CF82" s="3273">
        <v>116</v>
      </c>
      <c r="CG82" s="3273">
        <v>188</v>
      </c>
      <c r="CH82" s="3273">
        <v>217</v>
      </c>
      <c r="CI82" s="3275">
        <v>213</v>
      </c>
      <c r="CJ82" s="3349">
        <v>154</v>
      </c>
      <c r="CK82" s="3350">
        <v>218</v>
      </c>
      <c r="CL82" s="3350">
        <v>150</v>
      </c>
      <c r="CM82" s="3350">
        <v>102</v>
      </c>
      <c r="CN82" s="3350">
        <v>127</v>
      </c>
      <c r="CO82" s="3350">
        <v>148</v>
      </c>
      <c r="CP82" s="3350">
        <v>356</v>
      </c>
      <c r="CQ82" s="3350">
        <v>244</v>
      </c>
      <c r="CR82" s="3350">
        <v>139</v>
      </c>
      <c r="CS82" s="3350">
        <v>182</v>
      </c>
      <c r="CT82" s="3350">
        <v>216</v>
      </c>
      <c r="CU82" s="3351">
        <v>174</v>
      </c>
      <c r="CV82" s="3349">
        <v>141</v>
      </c>
      <c r="CW82" s="3350">
        <v>235</v>
      </c>
      <c r="CX82" s="3272">
        <v>158</v>
      </c>
      <c r="CY82" s="3272">
        <v>101</v>
      </c>
      <c r="CZ82" s="3272">
        <v>126</v>
      </c>
      <c r="DA82" s="3272">
        <v>105</v>
      </c>
      <c r="DB82" s="3272">
        <v>297</v>
      </c>
      <c r="DC82" s="3272">
        <v>231</v>
      </c>
      <c r="DD82" s="3272">
        <v>140</v>
      </c>
      <c r="DE82" s="3272">
        <v>165</v>
      </c>
      <c r="DF82" s="3272">
        <v>213</v>
      </c>
      <c r="DG82" s="3351">
        <v>154</v>
      </c>
      <c r="DH82" s="3352">
        <v>151</v>
      </c>
      <c r="DI82" s="3353">
        <v>183</v>
      </c>
      <c r="DJ82" s="3353">
        <v>129</v>
      </c>
      <c r="DK82" s="3354">
        <v>112</v>
      </c>
      <c r="DL82" s="3354">
        <v>87</v>
      </c>
      <c r="DM82" s="3354">
        <v>103</v>
      </c>
      <c r="DN82" s="3354">
        <v>117</v>
      </c>
      <c r="DO82" s="3354">
        <v>153</v>
      </c>
      <c r="DP82" s="2556">
        <v>140</v>
      </c>
      <c r="DQ82" s="3354">
        <v>189</v>
      </c>
      <c r="DR82" s="3354">
        <v>171</v>
      </c>
      <c r="DS82" s="3355">
        <v>137</v>
      </c>
      <c r="DT82" s="3356">
        <v>168</v>
      </c>
      <c r="DU82" s="3243">
        <v>142</v>
      </c>
      <c r="DV82" s="3243">
        <v>113</v>
      </c>
      <c r="DW82" s="3164">
        <v>157</v>
      </c>
      <c r="DX82" s="3164">
        <v>113</v>
      </c>
      <c r="DY82" s="3164">
        <v>102</v>
      </c>
      <c r="DZ82" s="3164">
        <v>264</v>
      </c>
      <c r="EA82" s="3164">
        <v>228</v>
      </c>
      <c r="EB82" s="3164">
        <v>135</v>
      </c>
      <c r="EC82" s="3164">
        <v>169</v>
      </c>
      <c r="ED82" s="3164">
        <v>191</v>
      </c>
      <c r="EE82" s="3163">
        <v>143</v>
      </c>
      <c r="EF82" s="2532">
        <v>187</v>
      </c>
      <c r="EG82" s="2531">
        <v>214</v>
      </c>
      <c r="EH82" s="2531">
        <v>150</v>
      </c>
      <c r="EI82" s="2531">
        <v>142</v>
      </c>
      <c r="EJ82" s="2531">
        <v>131</v>
      </c>
      <c r="EK82" s="2531">
        <v>131</v>
      </c>
      <c r="EL82" s="2531">
        <v>273</v>
      </c>
      <c r="EM82" s="2557">
        <v>208</v>
      </c>
      <c r="EN82" s="2557">
        <v>147</v>
      </c>
      <c r="EO82" s="2558">
        <v>236</v>
      </c>
      <c r="EP82" s="2558">
        <v>206</v>
      </c>
      <c r="EQ82" s="2559">
        <v>165</v>
      </c>
      <c r="ER82" s="1323">
        <v>195</v>
      </c>
      <c r="ES82" s="3357">
        <v>254</v>
      </c>
      <c r="ET82" s="3357">
        <v>168</v>
      </c>
      <c r="EU82" s="2560">
        <v>170</v>
      </c>
      <c r="EV82" s="2107">
        <v>155</v>
      </c>
      <c r="EW82" s="2107">
        <v>139</v>
      </c>
      <c r="EX82" s="2107">
        <v>329</v>
      </c>
      <c r="EY82" s="2107">
        <v>278</v>
      </c>
      <c r="EZ82" s="2107">
        <v>180</v>
      </c>
      <c r="FA82" s="2275">
        <v>169</v>
      </c>
      <c r="FB82" s="2275">
        <v>181</v>
      </c>
      <c r="FC82" s="2275">
        <v>202</v>
      </c>
      <c r="FD82" s="2615">
        <v>260</v>
      </c>
      <c r="FE82" s="2616">
        <v>232</v>
      </c>
      <c r="FF82" s="2616">
        <v>86</v>
      </c>
      <c r="FG82" s="2616"/>
      <c r="FH82" s="2616">
        <v>1</v>
      </c>
      <c r="FI82" s="2616">
        <v>1</v>
      </c>
      <c r="FJ82" s="2616">
        <v>7</v>
      </c>
      <c r="FK82" s="2616">
        <v>17</v>
      </c>
      <c r="FL82" s="2616">
        <v>8</v>
      </c>
      <c r="FM82" s="2616">
        <v>12</v>
      </c>
      <c r="FN82" s="2616">
        <v>21</v>
      </c>
      <c r="FO82" s="2617">
        <v>32</v>
      </c>
      <c r="FP82" s="2615">
        <v>29</v>
      </c>
      <c r="FQ82" s="2616">
        <v>17</v>
      </c>
      <c r="FR82" s="2616">
        <v>19</v>
      </c>
      <c r="FS82" s="2616">
        <v>23</v>
      </c>
      <c r="FT82" s="2616">
        <v>26</v>
      </c>
      <c r="FU82" s="2616"/>
      <c r="FV82" s="2616"/>
      <c r="FW82" s="2616"/>
      <c r="FX82" s="2616"/>
      <c r="FY82" s="2616"/>
      <c r="FZ82" s="2616"/>
      <c r="GA82" s="2618"/>
      <c r="GB82" s="2607"/>
      <c r="GC82" s="2754">
        <v>380</v>
      </c>
      <c r="GD82" s="2755">
        <v>210</v>
      </c>
      <c r="GE82" s="2755">
        <v>608</v>
      </c>
      <c r="GF82" s="2756">
        <v>462</v>
      </c>
      <c r="GG82" s="2757">
        <v>449</v>
      </c>
      <c r="GH82" s="2758">
        <v>338</v>
      </c>
      <c r="GI82" s="2758">
        <v>556</v>
      </c>
      <c r="GJ82" s="2759">
        <v>508</v>
      </c>
      <c r="GK82" s="2760">
        <v>320</v>
      </c>
      <c r="GL82" s="2761">
        <v>357</v>
      </c>
      <c r="GM82" s="2762">
        <v>556</v>
      </c>
      <c r="GN82" s="2762">
        <v>531</v>
      </c>
      <c r="GO82" s="2763">
        <v>415</v>
      </c>
      <c r="GP82" s="2764">
        <v>286</v>
      </c>
      <c r="GQ82" s="2764">
        <v>523</v>
      </c>
      <c r="GR82" s="2765">
        <v>379</v>
      </c>
      <c r="GS82" s="2766">
        <v>349</v>
      </c>
      <c r="GT82" s="2767">
        <v>257</v>
      </c>
      <c r="GU82" s="2767">
        <v>573</v>
      </c>
      <c r="GV82" s="2768">
        <v>487</v>
      </c>
      <c r="GW82" s="2764">
        <v>408</v>
      </c>
      <c r="GX82" s="2764">
        <v>322</v>
      </c>
      <c r="GY82" s="2764">
        <v>692</v>
      </c>
      <c r="GZ82" s="2764">
        <v>580</v>
      </c>
      <c r="HA82" s="2769">
        <v>467</v>
      </c>
      <c r="HB82" s="2769">
        <v>299</v>
      </c>
      <c r="HC82" s="2769">
        <v>634</v>
      </c>
      <c r="HD82" s="2769">
        <v>618</v>
      </c>
      <c r="HE82" s="2770">
        <v>522</v>
      </c>
      <c r="HF82" s="2770">
        <v>377</v>
      </c>
      <c r="HG82" s="2770">
        <f t="shared" si="17"/>
        <v>739</v>
      </c>
      <c r="HH82" s="2770">
        <v>572</v>
      </c>
      <c r="HI82" s="2771">
        <v>534</v>
      </c>
      <c r="HJ82" s="2771">
        <f t="shared" si="18"/>
        <v>332</v>
      </c>
      <c r="HK82" s="2771">
        <f t="shared" si="19"/>
        <v>668</v>
      </c>
      <c r="HL82" s="2770">
        <f t="shared" si="20"/>
        <v>532</v>
      </c>
      <c r="HM82" s="2689">
        <f t="shared" si="21"/>
        <v>463</v>
      </c>
      <c r="HN82" s="2689">
        <f t="shared" si="22"/>
        <v>302</v>
      </c>
      <c r="HO82" s="2689">
        <f t="shared" si="23"/>
        <v>407</v>
      </c>
      <c r="HP82" s="2689">
        <f t="shared" si="24"/>
        <v>497</v>
      </c>
      <c r="HQ82" s="2764">
        <f t="shared" si="25"/>
        <v>423</v>
      </c>
      <c r="HR82" s="2764">
        <f t="shared" si="26"/>
        <v>372</v>
      </c>
      <c r="HS82" s="2764">
        <f t="shared" si="27"/>
        <v>627</v>
      </c>
      <c r="HT82" s="2764">
        <f t="shared" si="28"/>
        <v>503</v>
      </c>
      <c r="HU82" s="2772">
        <f t="shared" si="29"/>
        <v>551</v>
      </c>
      <c r="HV82" s="2769">
        <f t="shared" si="30"/>
        <v>404</v>
      </c>
      <c r="HW82" s="2769">
        <f t="shared" si="31"/>
        <v>628</v>
      </c>
      <c r="HX82" s="2769">
        <f t="shared" si="32"/>
        <v>607</v>
      </c>
      <c r="HY82" s="2773">
        <f t="shared" si="33"/>
        <v>617</v>
      </c>
      <c r="HZ82" s="2774">
        <f t="shared" si="34"/>
        <v>464</v>
      </c>
      <c r="IA82" s="2774">
        <f t="shared" si="35"/>
        <v>787</v>
      </c>
      <c r="IB82" s="2774">
        <f t="shared" si="36"/>
        <v>552</v>
      </c>
      <c r="IC82" s="2775">
        <f t="shared" si="65"/>
        <v>578</v>
      </c>
      <c r="ID82" s="2776">
        <f t="shared" si="66"/>
        <v>2</v>
      </c>
      <c r="IE82" s="2776">
        <f t="shared" si="67"/>
        <v>32</v>
      </c>
      <c r="IF82" s="2777">
        <f t="shared" si="68"/>
        <v>65</v>
      </c>
      <c r="IG82" s="2772">
        <f t="shared" si="51"/>
        <v>65</v>
      </c>
      <c r="IH82" s="2769">
        <f t="shared" si="52"/>
        <v>49</v>
      </c>
      <c r="II82" s="2769">
        <f t="shared" si="53"/>
        <v>0</v>
      </c>
      <c r="IJ82" s="2769">
        <f t="shared" si="54"/>
        <v>0</v>
      </c>
      <c r="IK82" s="2578"/>
      <c r="IL82" s="3358">
        <v>1660</v>
      </c>
      <c r="IM82" s="3359">
        <v>1851</v>
      </c>
      <c r="IN82" s="3359">
        <v>1764</v>
      </c>
      <c r="IO82" s="3359">
        <v>1603</v>
      </c>
      <c r="IP82" s="3359">
        <v>1666</v>
      </c>
      <c r="IQ82" s="3359">
        <v>2002</v>
      </c>
      <c r="IR82" s="3360">
        <v>2018</v>
      </c>
      <c r="IS82" s="3361">
        <v>2210</v>
      </c>
      <c r="IT82" s="3361">
        <f t="shared" si="37"/>
        <v>2066</v>
      </c>
      <c r="IU82" s="3361">
        <f t="shared" si="38"/>
        <v>1672</v>
      </c>
      <c r="IV82" s="3361">
        <f t="shared" si="39"/>
        <v>1925</v>
      </c>
      <c r="IW82" s="3361">
        <f t="shared" si="40"/>
        <v>2190</v>
      </c>
      <c r="IX82" s="3362">
        <f t="shared" si="55"/>
        <v>2420</v>
      </c>
      <c r="IY82" s="3380">
        <f t="shared" si="69"/>
        <v>677</v>
      </c>
      <c r="IZ82" s="3378">
        <f t="shared" si="57"/>
        <v>231</v>
      </c>
      <c r="JA82" s="3579">
        <f t="shared" si="58"/>
        <v>114</v>
      </c>
      <c r="JC82" s="3365">
        <f t="shared" si="59"/>
        <v>454</v>
      </c>
      <c r="JD82" s="3366">
        <f t="shared" si="42"/>
        <v>2.66400690857294E-3</v>
      </c>
      <c r="JE82" s="3366">
        <f t="shared" si="43"/>
        <v>2.9482441483096988E-3</v>
      </c>
      <c r="JF82" s="3366">
        <f t="shared" si="60"/>
        <v>3.1999298645509142E-3</v>
      </c>
      <c r="JG82" s="3366">
        <f t="shared" si="56"/>
        <v>3.5359955580882246E-3</v>
      </c>
      <c r="JH82" s="3366">
        <f t="shared" si="61"/>
        <v>3.5553548265123388E-3</v>
      </c>
      <c r="JI82" s="3379">
        <f t="shared" si="62"/>
        <v>8.2207575908553859E-4</v>
      </c>
      <c r="JJ82" s="3366"/>
      <c r="JK82" s="3368">
        <f t="shared" si="44"/>
        <v>0.15131578947368429</v>
      </c>
      <c r="JL82" s="3369">
        <f t="shared" si="45"/>
        <v>-0.72846889952153115</v>
      </c>
      <c r="JM82" s="3369">
        <f t="shared" si="46"/>
        <v>0.1376623376623376</v>
      </c>
      <c r="JN82" s="3369">
        <f t="shared" si="46"/>
        <v>0.10502283105022836</v>
      </c>
      <c r="JO82" s="3369">
        <f t="shared" si="46"/>
        <v>-0.72024793388429753</v>
      </c>
      <c r="JP82" s="3370">
        <f t="shared" si="63"/>
        <v>-0.90454545454545454</v>
      </c>
      <c r="JQ82" s="3371">
        <f t="shared" si="64"/>
        <v>-0.65878877400295421</v>
      </c>
    </row>
    <row r="83" spans="1:301" ht="21.9" customHeight="1">
      <c r="A83" s="3382"/>
      <c r="B83" s="3045"/>
      <c r="C83" s="3381" t="s">
        <v>50</v>
      </c>
      <c r="D83" s="3383">
        <v>339</v>
      </c>
      <c r="E83" s="3384">
        <v>210</v>
      </c>
      <c r="F83" s="3384">
        <v>197</v>
      </c>
      <c r="G83" s="3384">
        <v>159</v>
      </c>
      <c r="H83" s="3384">
        <v>91</v>
      </c>
      <c r="I83" s="3384">
        <v>219</v>
      </c>
      <c r="J83" s="3384">
        <v>149</v>
      </c>
      <c r="K83" s="3384">
        <v>85</v>
      </c>
      <c r="L83" s="3384">
        <v>129</v>
      </c>
      <c r="M83" s="3384">
        <v>258</v>
      </c>
      <c r="N83" s="3384">
        <v>319</v>
      </c>
      <c r="O83" s="3385">
        <v>367</v>
      </c>
      <c r="P83" s="3333">
        <v>226</v>
      </c>
      <c r="Q83" s="3334">
        <v>386</v>
      </c>
      <c r="R83" s="3334">
        <v>264</v>
      </c>
      <c r="S83" s="3334">
        <v>123</v>
      </c>
      <c r="T83" s="3334">
        <v>132</v>
      </c>
      <c r="U83" s="3334">
        <v>204</v>
      </c>
      <c r="V83" s="3334">
        <v>173</v>
      </c>
      <c r="W83" s="3334">
        <v>77</v>
      </c>
      <c r="X83" s="3334">
        <v>137</v>
      </c>
      <c r="Y83" s="3334">
        <v>325</v>
      </c>
      <c r="Z83" s="3334">
        <v>450</v>
      </c>
      <c r="AA83" s="3335">
        <v>328</v>
      </c>
      <c r="AB83" s="3336">
        <v>333</v>
      </c>
      <c r="AC83" s="3337">
        <v>256</v>
      </c>
      <c r="AD83" s="3337">
        <v>147</v>
      </c>
      <c r="AE83" s="3337">
        <v>149</v>
      </c>
      <c r="AF83" s="3337">
        <v>162</v>
      </c>
      <c r="AG83" s="3337">
        <v>175</v>
      </c>
      <c r="AH83" s="3337">
        <v>174</v>
      </c>
      <c r="AI83" s="3337">
        <v>70</v>
      </c>
      <c r="AJ83" s="3337">
        <v>125</v>
      </c>
      <c r="AK83" s="3337">
        <v>265</v>
      </c>
      <c r="AL83" s="3337">
        <v>391</v>
      </c>
      <c r="AM83" s="3338">
        <v>315</v>
      </c>
      <c r="AN83" s="3339">
        <v>395</v>
      </c>
      <c r="AO83" s="3340">
        <v>294</v>
      </c>
      <c r="AP83" s="3340">
        <v>272</v>
      </c>
      <c r="AQ83" s="3340">
        <v>88</v>
      </c>
      <c r="AR83" s="3340">
        <v>79</v>
      </c>
      <c r="AS83" s="3340">
        <v>166</v>
      </c>
      <c r="AT83" s="3340">
        <v>142</v>
      </c>
      <c r="AU83" s="3340">
        <v>83</v>
      </c>
      <c r="AV83" s="3340">
        <v>98</v>
      </c>
      <c r="AW83" s="3340">
        <v>145</v>
      </c>
      <c r="AX83" s="3340">
        <v>286</v>
      </c>
      <c r="AY83" s="3341">
        <v>256</v>
      </c>
      <c r="AZ83" s="3277">
        <v>277</v>
      </c>
      <c r="BA83" s="3277">
        <v>260</v>
      </c>
      <c r="BB83" s="3277">
        <v>183</v>
      </c>
      <c r="BC83" s="3277">
        <v>123</v>
      </c>
      <c r="BD83" s="3277">
        <v>86</v>
      </c>
      <c r="BE83" s="3277">
        <v>219</v>
      </c>
      <c r="BF83" s="3277">
        <v>105</v>
      </c>
      <c r="BG83" s="3277">
        <v>112</v>
      </c>
      <c r="BH83" s="3277">
        <v>111</v>
      </c>
      <c r="BI83" s="3277">
        <v>254</v>
      </c>
      <c r="BJ83" s="3277">
        <v>359</v>
      </c>
      <c r="BK83" s="3374">
        <v>276</v>
      </c>
      <c r="BL83" s="3344">
        <v>262</v>
      </c>
      <c r="BM83" s="3345">
        <v>289</v>
      </c>
      <c r="BN83" s="3345">
        <v>213</v>
      </c>
      <c r="BO83" s="3345">
        <v>112</v>
      </c>
      <c r="BP83" s="3345">
        <v>95</v>
      </c>
      <c r="BQ83" s="3345">
        <v>248</v>
      </c>
      <c r="BR83" s="3345">
        <v>156</v>
      </c>
      <c r="BS83" s="3345">
        <v>88</v>
      </c>
      <c r="BT83" s="3346">
        <v>131</v>
      </c>
      <c r="BU83" s="3346">
        <v>245</v>
      </c>
      <c r="BV83" s="3346">
        <v>457</v>
      </c>
      <c r="BW83" s="3347">
        <v>390</v>
      </c>
      <c r="BX83" s="3348">
        <v>285</v>
      </c>
      <c r="BY83" s="3273">
        <v>221</v>
      </c>
      <c r="BZ83" s="3273">
        <v>246</v>
      </c>
      <c r="CA83" s="3273">
        <v>101</v>
      </c>
      <c r="CB83" s="3273">
        <v>77</v>
      </c>
      <c r="CC83" s="3273">
        <v>202</v>
      </c>
      <c r="CD83" s="3273">
        <v>190</v>
      </c>
      <c r="CE83" s="3273">
        <v>55</v>
      </c>
      <c r="CF83" s="3273">
        <v>100</v>
      </c>
      <c r="CG83" s="3273">
        <v>284</v>
      </c>
      <c r="CH83" s="3273">
        <v>378</v>
      </c>
      <c r="CI83" s="3275">
        <v>396</v>
      </c>
      <c r="CJ83" s="3349">
        <v>313</v>
      </c>
      <c r="CK83" s="3350">
        <v>295</v>
      </c>
      <c r="CL83" s="3350">
        <v>198</v>
      </c>
      <c r="CM83" s="3350">
        <v>114</v>
      </c>
      <c r="CN83" s="3350">
        <v>95</v>
      </c>
      <c r="CO83" s="3350">
        <v>180</v>
      </c>
      <c r="CP83" s="3350">
        <v>145</v>
      </c>
      <c r="CQ83" s="3350">
        <v>101</v>
      </c>
      <c r="CR83" s="3350">
        <v>88</v>
      </c>
      <c r="CS83" s="3350">
        <v>305</v>
      </c>
      <c r="CT83" s="3350">
        <v>368</v>
      </c>
      <c r="CU83" s="3351">
        <v>385</v>
      </c>
      <c r="CV83" s="3349">
        <v>271</v>
      </c>
      <c r="CW83" s="3350">
        <v>281</v>
      </c>
      <c r="CX83" s="3272">
        <v>204</v>
      </c>
      <c r="CY83" s="3272">
        <v>122</v>
      </c>
      <c r="CZ83" s="3272">
        <v>83</v>
      </c>
      <c r="DA83" s="3272">
        <v>245</v>
      </c>
      <c r="DB83" s="3272">
        <v>168</v>
      </c>
      <c r="DC83" s="3272">
        <v>86</v>
      </c>
      <c r="DD83" s="3272">
        <v>149</v>
      </c>
      <c r="DE83" s="3272">
        <v>327</v>
      </c>
      <c r="DF83" s="3272">
        <v>370</v>
      </c>
      <c r="DG83" s="3351">
        <v>393</v>
      </c>
      <c r="DH83" s="3352">
        <v>261</v>
      </c>
      <c r="DI83" s="3353">
        <v>243</v>
      </c>
      <c r="DJ83" s="3353">
        <v>222</v>
      </c>
      <c r="DK83" s="3354">
        <v>135</v>
      </c>
      <c r="DL83" s="3354">
        <v>89</v>
      </c>
      <c r="DM83" s="3354">
        <v>230</v>
      </c>
      <c r="DN83" s="3354">
        <v>147</v>
      </c>
      <c r="DO83" s="3354">
        <v>63</v>
      </c>
      <c r="DP83" s="2556">
        <v>96</v>
      </c>
      <c r="DQ83" s="3354">
        <v>338</v>
      </c>
      <c r="DR83" s="3354">
        <v>256</v>
      </c>
      <c r="DS83" s="3355">
        <v>252</v>
      </c>
      <c r="DT83" s="3356">
        <v>197</v>
      </c>
      <c r="DU83" s="3243">
        <v>217</v>
      </c>
      <c r="DV83" s="3243">
        <v>144</v>
      </c>
      <c r="DW83" s="3164">
        <v>145</v>
      </c>
      <c r="DX83" s="3164">
        <v>75</v>
      </c>
      <c r="DY83" s="3164">
        <v>141</v>
      </c>
      <c r="DZ83" s="3164">
        <v>109</v>
      </c>
      <c r="EA83" s="3164">
        <v>77</v>
      </c>
      <c r="EB83" s="3164">
        <v>82</v>
      </c>
      <c r="EC83" s="3164">
        <v>232</v>
      </c>
      <c r="ED83" s="3164">
        <v>376</v>
      </c>
      <c r="EE83" s="3163">
        <v>299</v>
      </c>
      <c r="EF83" s="2532">
        <v>195</v>
      </c>
      <c r="EG83" s="2531">
        <v>235</v>
      </c>
      <c r="EH83" s="2531">
        <v>183</v>
      </c>
      <c r="EI83" s="2531">
        <v>113</v>
      </c>
      <c r="EJ83" s="2531">
        <v>75</v>
      </c>
      <c r="EK83" s="2531">
        <v>182</v>
      </c>
      <c r="EL83" s="2531">
        <v>155</v>
      </c>
      <c r="EM83" s="2557">
        <v>72</v>
      </c>
      <c r="EN83" s="2557">
        <v>97</v>
      </c>
      <c r="EO83" s="2558">
        <v>185</v>
      </c>
      <c r="EP83" s="2558">
        <v>290</v>
      </c>
      <c r="EQ83" s="2559">
        <v>273</v>
      </c>
      <c r="ER83" s="1323">
        <v>248</v>
      </c>
      <c r="ES83" s="3357">
        <v>226</v>
      </c>
      <c r="ET83" s="3357">
        <v>182</v>
      </c>
      <c r="EU83" s="2560">
        <v>104</v>
      </c>
      <c r="EV83" s="2107">
        <v>93</v>
      </c>
      <c r="EW83" s="2107">
        <v>256</v>
      </c>
      <c r="EX83" s="2107">
        <v>199</v>
      </c>
      <c r="EY83" s="2107">
        <v>90</v>
      </c>
      <c r="EZ83" s="2107">
        <v>89</v>
      </c>
      <c r="FA83" s="2274">
        <v>133</v>
      </c>
      <c r="FB83" s="2274">
        <v>278</v>
      </c>
      <c r="FC83" s="2274">
        <v>272</v>
      </c>
      <c r="FD83" s="2608">
        <v>263</v>
      </c>
      <c r="FE83" s="2609">
        <v>231</v>
      </c>
      <c r="FF83" s="2609">
        <v>68</v>
      </c>
      <c r="FG83" s="2609"/>
      <c r="FH83" s="2609">
        <v>3</v>
      </c>
      <c r="FI83" s="2609">
        <v>5</v>
      </c>
      <c r="FJ83" s="2609">
        <v>10</v>
      </c>
      <c r="FK83" s="2609">
        <v>9</v>
      </c>
      <c r="FL83" s="2609">
        <v>15</v>
      </c>
      <c r="FM83" s="2609">
        <v>16</v>
      </c>
      <c r="FN83" s="2609">
        <v>29</v>
      </c>
      <c r="FO83" s="2610">
        <v>37</v>
      </c>
      <c r="FP83" s="2608">
        <v>34</v>
      </c>
      <c r="FQ83" s="2609">
        <v>17</v>
      </c>
      <c r="FR83" s="2609">
        <v>20</v>
      </c>
      <c r="FS83" s="2609">
        <v>15</v>
      </c>
      <c r="FT83" s="2609">
        <v>24</v>
      </c>
      <c r="FU83" s="2609"/>
      <c r="FV83" s="2609"/>
      <c r="FW83" s="2609"/>
      <c r="FX83" s="2609"/>
      <c r="FY83" s="2609"/>
      <c r="FZ83" s="2609"/>
      <c r="GA83" s="2614"/>
      <c r="GB83" s="2607"/>
      <c r="GC83" s="2754">
        <v>746</v>
      </c>
      <c r="GD83" s="2755">
        <v>469</v>
      </c>
      <c r="GE83" s="2755">
        <v>363</v>
      </c>
      <c r="GF83" s="2756">
        <v>944</v>
      </c>
      <c r="GG83" s="2757">
        <v>876</v>
      </c>
      <c r="GH83" s="2758">
        <v>459</v>
      </c>
      <c r="GI83" s="2758">
        <v>387</v>
      </c>
      <c r="GJ83" s="2759">
        <v>1103</v>
      </c>
      <c r="GK83" s="2760">
        <v>736</v>
      </c>
      <c r="GL83" s="2761">
        <v>486</v>
      </c>
      <c r="GM83" s="2762">
        <v>369</v>
      </c>
      <c r="GN83" s="2762">
        <v>971</v>
      </c>
      <c r="GO83" s="2763">
        <v>961</v>
      </c>
      <c r="GP83" s="2764">
        <v>333</v>
      </c>
      <c r="GQ83" s="2764">
        <v>323</v>
      </c>
      <c r="GR83" s="2765">
        <v>687</v>
      </c>
      <c r="GS83" s="2766">
        <v>720</v>
      </c>
      <c r="GT83" s="2767">
        <v>428</v>
      </c>
      <c r="GU83" s="2767">
        <v>328</v>
      </c>
      <c r="GV83" s="2768">
        <v>889</v>
      </c>
      <c r="GW83" s="2764">
        <v>764</v>
      </c>
      <c r="GX83" s="2764">
        <v>455</v>
      </c>
      <c r="GY83" s="2764">
        <v>375</v>
      </c>
      <c r="GZ83" s="2764">
        <v>1092</v>
      </c>
      <c r="HA83" s="2769">
        <v>752</v>
      </c>
      <c r="HB83" s="2769">
        <v>380</v>
      </c>
      <c r="HC83" s="2769">
        <v>345</v>
      </c>
      <c r="HD83" s="2769">
        <v>1058</v>
      </c>
      <c r="HE83" s="2770">
        <v>806</v>
      </c>
      <c r="HF83" s="2770">
        <v>389</v>
      </c>
      <c r="HG83" s="2770">
        <f t="shared" si="17"/>
        <v>334</v>
      </c>
      <c r="HH83" s="2770">
        <v>1058</v>
      </c>
      <c r="HI83" s="2771">
        <v>756</v>
      </c>
      <c r="HJ83" s="2771">
        <f t="shared" si="18"/>
        <v>450</v>
      </c>
      <c r="HK83" s="2771">
        <f t="shared" si="19"/>
        <v>403</v>
      </c>
      <c r="HL83" s="2770">
        <f t="shared" si="20"/>
        <v>1090</v>
      </c>
      <c r="HM83" s="2689">
        <f t="shared" si="21"/>
        <v>726</v>
      </c>
      <c r="HN83" s="2689">
        <f t="shared" si="22"/>
        <v>454</v>
      </c>
      <c r="HO83" s="2689">
        <f t="shared" si="23"/>
        <v>462</v>
      </c>
      <c r="HP83" s="2689">
        <f t="shared" si="24"/>
        <v>846</v>
      </c>
      <c r="HQ83" s="2764">
        <f t="shared" si="25"/>
        <v>558</v>
      </c>
      <c r="HR83" s="2764">
        <f t="shared" si="26"/>
        <v>361</v>
      </c>
      <c r="HS83" s="2764">
        <f t="shared" si="27"/>
        <v>268</v>
      </c>
      <c r="HT83" s="2764">
        <f t="shared" si="28"/>
        <v>907</v>
      </c>
      <c r="HU83" s="2772">
        <f t="shared" si="29"/>
        <v>613</v>
      </c>
      <c r="HV83" s="2769">
        <f t="shared" si="30"/>
        <v>370</v>
      </c>
      <c r="HW83" s="2769">
        <f t="shared" si="31"/>
        <v>324</v>
      </c>
      <c r="HX83" s="2769">
        <f t="shared" si="32"/>
        <v>748</v>
      </c>
      <c r="HY83" s="2773">
        <f t="shared" si="33"/>
        <v>656</v>
      </c>
      <c r="HZ83" s="2774">
        <f t="shared" si="34"/>
        <v>453</v>
      </c>
      <c r="IA83" s="2774">
        <f t="shared" si="35"/>
        <v>378</v>
      </c>
      <c r="IB83" s="2774">
        <f t="shared" si="36"/>
        <v>683</v>
      </c>
      <c r="IC83" s="2775">
        <f t="shared" si="65"/>
        <v>562</v>
      </c>
      <c r="ID83" s="2776">
        <f t="shared" si="66"/>
        <v>8</v>
      </c>
      <c r="IE83" s="2776">
        <f t="shared" si="67"/>
        <v>34</v>
      </c>
      <c r="IF83" s="2777">
        <f t="shared" si="68"/>
        <v>82</v>
      </c>
      <c r="IG83" s="2772">
        <f t="shared" si="51"/>
        <v>71</v>
      </c>
      <c r="IH83" s="2769">
        <f t="shared" si="52"/>
        <v>39</v>
      </c>
      <c r="II83" s="2769">
        <f t="shared" si="53"/>
        <v>0</v>
      </c>
      <c r="IJ83" s="2769">
        <f t="shared" si="54"/>
        <v>0</v>
      </c>
      <c r="IK83" s="2578"/>
      <c r="IL83" s="3358">
        <v>2522</v>
      </c>
      <c r="IM83" s="3359">
        <v>2825</v>
      </c>
      <c r="IN83" s="3359">
        <v>2562</v>
      </c>
      <c r="IO83" s="3359">
        <v>2304</v>
      </c>
      <c r="IP83" s="3359">
        <v>2365</v>
      </c>
      <c r="IQ83" s="3359">
        <v>2686</v>
      </c>
      <c r="IR83" s="3360">
        <v>2535</v>
      </c>
      <c r="IS83" s="3361">
        <v>2587</v>
      </c>
      <c r="IT83" s="3361">
        <f t="shared" si="37"/>
        <v>2699</v>
      </c>
      <c r="IU83" s="3361">
        <f t="shared" si="38"/>
        <v>2332</v>
      </c>
      <c r="IV83" s="3361">
        <f t="shared" si="39"/>
        <v>2094</v>
      </c>
      <c r="IW83" s="3361">
        <f t="shared" si="40"/>
        <v>2055</v>
      </c>
      <c r="IX83" s="3362">
        <f t="shared" si="55"/>
        <v>2170</v>
      </c>
      <c r="IY83" s="3380">
        <f t="shared" si="69"/>
        <v>686</v>
      </c>
      <c r="IZ83" s="3378">
        <f t="shared" si="57"/>
        <v>243</v>
      </c>
      <c r="JA83" s="3579">
        <f t="shared" si="58"/>
        <v>110</v>
      </c>
      <c r="JC83" s="3365">
        <f t="shared" si="59"/>
        <v>464.5</v>
      </c>
      <c r="JD83" s="3366">
        <f t="shared" si="42"/>
        <v>3.7155885830096268E-3</v>
      </c>
      <c r="JE83" s="3366">
        <f t="shared" si="43"/>
        <v>3.2070770112002647E-3</v>
      </c>
      <c r="JF83" s="3366">
        <f t="shared" si="60"/>
        <v>3.0026739139964054E-3</v>
      </c>
      <c r="JG83" s="3366">
        <f t="shared" si="56"/>
        <v>3.1707067607650609E-3</v>
      </c>
      <c r="JH83" s="3366">
        <f t="shared" si="61"/>
        <v>3.6026195140139799E-3</v>
      </c>
      <c r="JI83" s="3379">
        <f t="shared" si="62"/>
        <v>8.6478099332374834E-4</v>
      </c>
      <c r="JJ83" s="3366"/>
      <c r="JK83" s="3368">
        <f t="shared" si="44"/>
        <v>-0.10205831903945106</v>
      </c>
      <c r="JL83" s="3369">
        <f t="shared" si="45"/>
        <v>-0.80081475128644941</v>
      </c>
      <c r="JM83" s="3369">
        <f t="shared" si="46"/>
        <v>-1.8624641833810851E-2</v>
      </c>
      <c r="JN83" s="3369">
        <f t="shared" si="46"/>
        <v>5.5961070559610748E-2</v>
      </c>
      <c r="JO83" s="3369">
        <f t="shared" si="46"/>
        <v>-0.68387096774193545</v>
      </c>
      <c r="JP83" s="3370">
        <f t="shared" si="63"/>
        <v>-0.88801843317972351</v>
      </c>
      <c r="JQ83" s="3371">
        <f t="shared" si="64"/>
        <v>-0.64577259475218662</v>
      </c>
    </row>
    <row r="84" spans="1:301" ht="21.9" customHeight="1">
      <c r="A84" s="3382"/>
      <c r="B84" s="3045"/>
      <c r="C84" s="3381" t="s">
        <v>1479</v>
      </c>
      <c r="D84" s="3383"/>
      <c r="E84" s="3384"/>
      <c r="F84" s="3384"/>
      <c r="G84" s="3384"/>
      <c r="H84" s="3384"/>
      <c r="I84" s="3384"/>
      <c r="J84" s="3384"/>
      <c r="K84" s="3384"/>
      <c r="L84" s="3384"/>
      <c r="M84" s="3384"/>
      <c r="N84" s="3384"/>
      <c r="O84" s="3385"/>
      <c r="P84" s="3333"/>
      <c r="Q84" s="3334"/>
      <c r="R84" s="3334"/>
      <c r="S84" s="3334"/>
      <c r="T84" s="3334"/>
      <c r="U84" s="3334"/>
      <c r="V84" s="3334"/>
      <c r="W84" s="3334"/>
      <c r="X84" s="3334"/>
      <c r="Y84" s="3334"/>
      <c r="Z84" s="3334"/>
      <c r="AA84" s="3335"/>
      <c r="AB84" s="3336"/>
      <c r="AC84" s="3337"/>
      <c r="AD84" s="3337"/>
      <c r="AE84" s="3337"/>
      <c r="AF84" s="3337"/>
      <c r="AG84" s="3337"/>
      <c r="AH84" s="3337"/>
      <c r="AI84" s="3337"/>
      <c r="AJ84" s="3337"/>
      <c r="AK84" s="3337"/>
      <c r="AL84" s="3337"/>
      <c r="AM84" s="3338"/>
      <c r="AN84" s="3339"/>
      <c r="AO84" s="3340"/>
      <c r="AP84" s="3340"/>
      <c r="AQ84" s="3340"/>
      <c r="AR84" s="3340"/>
      <c r="AS84" s="3340"/>
      <c r="AT84" s="3340"/>
      <c r="AU84" s="3340"/>
      <c r="AV84" s="3340"/>
      <c r="AW84" s="3340"/>
      <c r="AX84" s="3340"/>
      <c r="AY84" s="3341"/>
      <c r="AZ84" s="3277"/>
      <c r="BA84" s="3277"/>
      <c r="BB84" s="3277"/>
      <c r="BC84" s="3277"/>
      <c r="BD84" s="3277"/>
      <c r="BE84" s="3277"/>
      <c r="BF84" s="3277"/>
      <c r="BG84" s="3277"/>
      <c r="BH84" s="3277"/>
      <c r="BI84" s="3277"/>
      <c r="BJ84" s="3277"/>
      <c r="BK84" s="3374"/>
      <c r="BL84" s="3344"/>
      <c r="BM84" s="3345"/>
      <c r="BN84" s="3345"/>
      <c r="BO84" s="3345"/>
      <c r="BP84" s="3345"/>
      <c r="BQ84" s="3345"/>
      <c r="BR84" s="3345"/>
      <c r="BS84" s="3345"/>
      <c r="BT84" s="3346"/>
      <c r="BU84" s="3346"/>
      <c r="BV84" s="3346"/>
      <c r="BW84" s="3347"/>
      <c r="BX84" s="3348"/>
      <c r="BY84" s="3273"/>
      <c r="BZ84" s="3273"/>
      <c r="CA84" s="3273"/>
      <c r="CB84" s="3273"/>
      <c r="CC84" s="3273"/>
      <c r="CD84" s="3273"/>
      <c r="CE84" s="3273"/>
      <c r="CF84" s="3273"/>
      <c r="CG84" s="3273"/>
      <c r="CH84" s="3273"/>
      <c r="CI84" s="3275"/>
      <c r="CJ84" s="3349"/>
      <c r="CK84" s="3350"/>
      <c r="CL84" s="3350"/>
      <c r="CM84" s="3350"/>
      <c r="CN84" s="3350"/>
      <c r="CO84" s="3350"/>
      <c r="CP84" s="3350"/>
      <c r="CQ84" s="3350"/>
      <c r="CR84" s="3350"/>
      <c r="CS84" s="3350"/>
      <c r="CT84" s="3350"/>
      <c r="CU84" s="3351"/>
      <c r="CV84" s="3349"/>
      <c r="CW84" s="3350"/>
      <c r="CX84" s="3272"/>
      <c r="CY84" s="3272"/>
      <c r="CZ84" s="3272"/>
      <c r="DA84" s="3272"/>
      <c r="DB84" s="3272"/>
      <c r="DC84" s="3272"/>
      <c r="DD84" s="3272"/>
      <c r="DE84" s="3272"/>
      <c r="DF84" s="3272"/>
      <c r="DG84" s="3351"/>
      <c r="DH84" s="3352"/>
      <c r="DI84" s="3353"/>
      <c r="DJ84" s="3353"/>
      <c r="DK84" s="3354"/>
      <c r="DL84" s="3354"/>
      <c r="DM84" s="3354"/>
      <c r="DN84" s="3354"/>
      <c r="DO84" s="3354"/>
      <c r="DP84" s="2556"/>
      <c r="DQ84" s="3354"/>
      <c r="DR84" s="3354"/>
      <c r="DS84" s="3355"/>
      <c r="DT84" s="3356"/>
      <c r="DU84" s="3243"/>
      <c r="DV84" s="3243"/>
      <c r="DW84" s="3164"/>
      <c r="DX84" s="3164"/>
      <c r="DY84" s="3164"/>
      <c r="DZ84" s="3164"/>
      <c r="EA84" s="3164"/>
      <c r="EB84" s="3164"/>
      <c r="EC84" s="3164"/>
      <c r="ED84" s="3164"/>
      <c r="EE84" s="3163"/>
      <c r="EF84" s="2532"/>
      <c r="EG84" s="2531"/>
      <c r="EH84" s="2531"/>
      <c r="EI84" s="2531"/>
      <c r="EJ84" s="2531"/>
      <c r="EK84" s="2531"/>
      <c r="EL84" s="2531"/>
      <c r="EM84" s="2557"/>
      <c r="EN84" s="2557"/>
      <c r="EO84" s="2558"/>
      <c r="EP84" s="2558"/>
      <c r="EQ84" s="2559"/>
      <c r="ER84" s="1323"/>
      <c r="ES84" s="3357"/>
      <c r="ET84" s="3357"/>
      <c r="EU84" s="2560"/>
      <c r="EV84" s="2107"/>
      <c r="EW84" s="2107"/>
      <c r="EX84" s="2107"/>
      <c r="EY84" s="2107"/>
      <c r="EZ84" s="2107"/>
      <c r="FA84" s="2275"/>
      <c r="FB84" s="2275"/>
      <c r="FC84" s="2275"/>
      <c r="FD84" s="2615"/>
      <c r="FE84" s="2616"/>
      <c r="FF84" s="2616"/>
      <c r="FG84" s="2616"/>
      <c r="FH84" s="2616"/>
      <c r="FI84" s="2616"/>
      <c r="FJ84" s="2616"/>
      <c r="FK84" s="2616"/>
      <c r="FL84" s="2616"/>
      <c r="FM84" s="2616"/>
      <c r="FN84" s="2616"/>
      <c r="FO84" s="2617"/>
      <c r="FP84" s="2619">
        <v>45</v>
      </c>
      <c r="FQ84" s="2620">
        <v>30</v>
      </c>
      <c r="FR84" s="2620">
        <v>25</v>
      </c>
      <c r="FS84" s="2620">
        <v>34</v>
      </c>
      <c r="FT84" s="2620">
        <v>25</v>
      </c>
      <c r="FU84" s="2620"/>
      <c r="FV84" s="2620"/>
      <c r="FW84" s="2620"/>
      <c r="FX84" s="2620"/>
      <c r="FY84" s="2620"/>
      <c r="FZ84" s="2620"/>
      <c r="GA84" s="2621"/>
      <c r="GB84" s="2607"/>
      <c r="GC84" s="2754"/>
      <c r="GD84" s="2755"/>
      <c r="GE84" s="2755"/>
      <c r="GF84" s="2756"/>
      <c r="GG84" s="2757"/>
      <c r="GH84" s="2758"/>
      <c r="GI84" s="2758"/>
      <c r="GJ84" s="2759"/>
      <c r="GK84" s="2760"/>
      <c r="GL84" s="2761"/>
      <c r="GM84" s="2762"/>
      <c r="GN84" s="2762"/>
      <c r="GO84" s="2763"/>
      <c r="GP84" s="2764"/>
      <c r="GQ84" s="2764"/>
      <c r="GR84" s="2765"/>
      <c r="GS84" s="2766"/>
      <c r="GT84" s="2767"/>
      <c r="GU84" s="2767"/>
      <c r="GV84" s="2768"/>
      <c r="GW84" s="2764"/>
      <c r="GX84" s="2764"/>
      <c r="GY84" s="2764"/>
      <c r="GZ84" s="2764"/>
      <c r="HA84" s="2769"/>
      <c r="HB84" s="2769"/>
      <c r="HC84" s="2769"/>
      <c r="HD84" s="2769"/>
      <c r="HE84" s="2770"/>
      <c r="HF84" s="2770"/>
      <c r="HG84" s="2770"/>
      <c r="HH84" s="2770"/>
      <c r="HI84" s="2771"/>
      <c r="HJ84" s="2771"/>
      <c r="HK84" s="2771"/>
      <c r="HL84" s="2770"/>
      <c r="HM84" s="2689"/>
      <c r="HN84" s="2689"/>
      <c r="HO84" s="2689"/>
      <c r="HP84" s="2689"/>
      <c r="HQ84" s="2764"/>
      <c r="HR84" s="2764"/>
      <c r="HS84" s="2764"/>
      <c r="HT84" s="2764"/>
      <c r="HU84" s="2772"/>
      <c r="HV84" s="2769"/>
      <c r="HW84" s="2769"/>
      <c r="HX84" s="2769"/>
      <c r="HY84" s="2773"/>
      <c r="HZ84" s="2774"/>
      <c r="IA84" s="2774"/>
      <c r="IB84" s="2774"/>
      <c r="IC84" s="2775"/>
      <c r="ID84" s="2776"/>
      <c r="IE84" s="2776"/>
      <c r="IF84" s="2777"/>
      <c r="IG84" s="2772"/>
      <c r="IH84" s="2769"/>
      <c r="II84" s="2769"/>
      <c r="IJ84" s="2769"/>
      <c r="IK84" s="2578"/>
      <c r="IL84" s="3358"/>
      <c r="IM84" s="3359"/>
      <c r="IN84" s="3359"/>
      <c r="IO84" s="3359"/>
      <c r="IP84" s="3359"/>
      <c r="IQ84" s="3359"/>
      <c r="IR84" s="3360"/>
      <c r="IS84" s="3361"/>
      <c r="IT84" s="3361"/>
      <c r="IU84" s="3361"/>
      <c r="IV84" s="3361"/>
      <c r="IW84" s="3361"/>
      <c r="IX84" s="3362"/>
      <c r="IY84" s="3380"/>
      <c r="IZ84" s="3378">
        <f t="shared" si="57"/>
        <v>75</v>
      </c>
      <c r="JA84" s="3579">
        <f t="shared" si="58"/>
        <v>159</v>
      </c>
      <c r="JC84" s="3365"/>
      <c r="JD84" s="3366"/>
      <c r="JE84" s="3366"/>
      <c r="JF84" s="3366"/>
      <c r="JG84" s="3366"/>
      <c r="JH84" s="3366"/>
      <c r="JI84" s="3379">
        <f t="shared" si="62"/>
        <v>2.6690771398881125E-4</v>
      </c>
      <c r="JJ84" s="3366"/>
      <c r="JK84" s="3368"/>
      <c r="JL84" s="3369"/>
      <c r="JM84" s="3369"/>
      <c r="JN84" s="3369"/>
      <c r="JO84" s="3369"/>
      <c r="JP84" s="3370" t="str">
        <f>IF(IY84="","",IZ84/IX84-1)</f>
        <v/>
      </c>
      <c r="JQ84" s="3371" t="str">
        <f>IF(IY84="","",IZ84/IY84-1)</f>
        <v/>
      </c>
    </row>
    <row r="85" spans="1:301" ht="21.9" customHeight="1" thickBot="1">
      <c r="A85" s="3382"/>
      <c r="B85" s="3045"/>
      <c r="C85" s="3386" t="s">
        <v>51</v>
      </c>
      <c r="D85" s="3387">
        <v>1352</v>
      </c>
      <c r="E85" s="3388">
        <v>1073</v>
      </c>
      <c r="F85" s="3388">
        <v>1228</v>
      </c>
      <c r="G85" s="3388">
        <v>1130</v>
      </c>
      <c r="H85" s="3388">
        <v>1032</v>
      </c>
      <c r="I85" s="3388">
        <v>1214</v>
      </c>
      <c r="J85" s="3388">
        <v>1621</v>
      </c>
      <c r="K85" s="3388">
        <v>1503</v>
      </c>
      <c r="L85" s="3388">
        <v>1581</v>
      </c>
      <c r="M85" s="3388">
        <v>1686</v>
      </c>
      <c r="N85" s="3388">
        <v>1465</v>
      </c>
      <c r="O85" s="3389">
        <v>1267</v>
      </c>
      <c r="P85" s="3390">
        <v>1457</v>
      </c>
      <c r="Q85" s="3391">
        <v>1912</v>
      </c>
      <c r="R85" s="3391">
        <v>1681</v>
      </c>
      <c r="S85" s="3391">
        <v>1419</v>
      </c>
      <c r="T85" s="3391">
        <v>1507</v>
      </c>
      <c r="U85" s="3391">
        <v>1667</v>
      </c>
      <c r="V85" s="3391">
        <v>1856</v>
      </c>
      <c r="W85" s="3391">
        <v>2105</v>
      </c>
      <c r="X85" s="3391">
        <v>1931</v>
      </c>
      <c r="Y85" s="3391">
        <v>2079</v>
      </c>
      <c r="Z85" s="3391">
        <v>2062</v>
      </c>
      <c r="AA85" s="3392">
        <v>1753</v>
      </c>
      <c r="AB85" s="3393">
        <v>1691</v>
      </c>
      <c r="AC85" s="3394">
        <v>1564</v>
      </c>
      <c r="AD85" s="3394">
        <v>1837</v>
      </c>
      <c r="AE85" s="3394">
        <v>1902</v>
      </c>
      <c r="AF85" s="3394">
        <v>1950.5</v>
      </c>
      <c r="AG85" s="3394">
        <v>1999</v>
      </c>
      <c r="AH85" s="3394">
        <v>2276</v>
      </c>
      <c r="AI85" s="3394">
        <v>2179</v>
      </c>
      <c r="AJ85" s="3394">
        <v>1873</v>
      </c>
      <c r="AK85" s="3394">
        <v>2115</v>
      </c>
      <c r="AL85" s="3394">
        <v>1922</v>
      </c>
      <c r="AM85" s="3395">
        <v>1842</v>
      </c>
      <c r="AN85" s="3396">
        <v>2005</v>
      </c>
      <c r="AO85" s="3397">
        <v>2148</v>
      </c>
      <c r="AP85" s="3397">
        <v>2032</v>
      </c>
      <c r="AQ85" s="3397">
        <v>1797</v>
      </c>
      <c r="AR85" s="3397">
        <v>1836</v>
      </c>
      <c r="AS85" s="3397">
        <v>2056</v>
      </c>
      <c r="AT85" s="3397">
        <v>2157</v>
      </c>
      <c r="AU85" s="3397">
        <v>2080</v>
      </c>
      <c r="AV85" s="3397">
        <v>1869</v>
      </c>
      <c r="AW85" s="3397">
        <v>3234</v>
      </c>
      <c r="AX85" s="3397">
        <v>2064</v>
      </c>
      <c r="AY85" s="3398">
        <v>1947</v>
      </c>
      <c r="AZ85" s="3277">
        <v>2161</v>
      </c>
      <c r="BA85" s="3277">
        <v>1925</v>
      </c>
      <c r="BB85" s="3277">
        <v>2397</v>
      </c>
      <c r="BC85" s="3277">
        <v>2132</v>
      </c>
      <c r="BD85" s="3277">
        <v>1881</v>
      </c>
      <c r="BE85" s="3277">
        <v>1933</v>
      </c>
      <c r="BF85" s="3277">
        <v>1785</v>
      </c>
      <c r="BG85" s="3277">
        <v>1871</v>
      </c>
      <c r="BH85" s="3277">
        <v>1793</v>
      </c>
      <c r="BI85" s="3277">
        <v>1900</v>
      </c>
      <c r="BJ85" s="3277">
        <v>2198</v>
      </c>
      <c r="BK85" s="3374">
        <v>1731</v>
      </c>
      <c r="BL85" s="3399">
        <v>2292</v>
      </c>
      <c r="BM85" s="3400">
        <v>1667</v>
      </c>
      <c r="BN85" s="3400">
        <v>1785</v>
      </c>
      <c r="BO85" s="3400">
        <v>1717</v>
      </c>
      <c r="BP85" s="3400">
        <v>2030</v>
      </c>
      <c r="BQ85" s="3400">
        <v>2417</v>
      </c>
      <c r="BR85" s="3400">
        <v>2406</v>
      </c>
      <c r="BS85" s="3400">
        <v>2181</v>
      </c>
      <c r="BT85" s="3401">
        <v>2263</v>
      </c>
      <c r="BU85" s="3401">
        <v>2409</v>
      </c>
      <c r="BV85" s="3401">
        <v>2762</v>
      </c>
      <c r="BW85" s="3402">
        <v>2408</v>
      </c>
      <c r="BX85" s="3403">
        <v>2705</v>
      </c>
      <c r="BY85" s="3404">
        <v>2224</v>
      </c>
      <c r="BZ85" s="3404">
        <v>3674</v>
      </c>
      <c r="CA85" s="3404">
        <v>2902</v>
      </c>
      <c r="CB85" s="3404">
        <v>2693</v>
      </c>
      <c r="CC85" s="3404">
        <v>3260</v>
      </c>
      <c r="CD85" s="3404">
        <v>2875</v>
      </c>
      <c r="CE85" s="3404">
        <v>2875</v>
      </c>
      <c r="CF85" s="3404">
        <v>2838</v>
      </c>
      <c r="CG85" s="3404">
        <v>3163</v>
      </c>
      <c r="CH85" s="3404">
        <v>3258</v>
      </c>
      <c r="CI85" s="3405">
        <v>3987</v>
      </c>
      <c r="CJ85" s="3406">
        <v>1464</v>
      </c>
      <c r="CK85" s="3407">
        <v>2663</v>
      </c>
      <c r="CL85" s="3407">
        <v>2765</v>
      </c>
      <c r="CM85" s="3407">
        <v>2718</v>
      </c>
      <c r="CN85" s="3407">
        <v>2898</v>
      </c>
      <c r="CO85" s="3407">
        <v>1850</v>
      </c>
      <c r="CP85" s="3407">
        <v>3517</v>
      </c>
      <c r="CQ85" s="3407">
        <v>3243</v>
      </c>
      <c r="CR85" s="3407">
        <v>4230</v>
      </c>
      <c r="CS85" s="3407">
        <v>4080</v>
      </c>
      <c r="CT85" s="3407">
        <v>4657</v>
      </c>
      <c r="CU85" s="3408">
        <v>4249</v>
      </c>
      <c r="CV85" s="3406">
        <v>4365</v>
      </c>
      <c r="CW85" s="3407">
        <v>4265</v>
      </c>
      <c r="CX85" s="3409">
        <v>4529</v>
      </c>
      <c r="CY85" s="3409">
        <v>4893</v>
      </c>
      <c r="CZ85" s="3409">
        <v>4695</v>
      </c>
      <c r="DA85" s="3409">
        <v>4155</v>
      </c>
      <c r="DB85" s="3409">
        <v>4388</v>
      </c>
      <c r="DC85" s="3409">
        <v>2823</v>
      </c>
      <c r="DD85" s="3409">
        <v>3036</v>
      </c>
      <c r="DE85" s="3409">
        <v>2822</v>
      </c>
      <c r="DF85" s="3409">
        <v>3131</v>
      </c>
      <c r="DG85" s="3408">
        <v>2609</v>
      </c>
      <c r="DH85" s="3410">
        <v>2637</v>
      </c>
      <c r="DI85" s="3411">
        <v>2682</v>
      </c>
      <c r="DJ85" s="3411">
        <v>2560</v>
      </c>
      <c r="DK85" s="3412">
        <v>2027</v>
      </c>
      <c r="DL85" s="3412">
        <v>2406</v>
      </c>
      <c r="DM85" s="3412">
        <v>2378</v>
      </c>
      <c r="DN85" s="3412">
        <v>2754</v>
      </c>
      <c r="DO85" s="3412">
        <v>2485</v>
      </c>
      <c r="DP85" s="3413">
        <v>2655</v>
      </c>
      <c r="DQ85" s="3412">
        <v>5694</v>
      </c>
      <c r="DR85" s="3412">
        <v>3499</v>
      </c>
      <c r="DS85" s="3414">
        <v>3813</v>
      </c>
      <c r="DT85" s="3415">
        <v>3249</v>
      </c>
      <c r="DU85" s="3416">
        <v>2963</v>
      </c>
      <c r="DV85" s="3416">
        <v>3245</v>
      </c>
      <c r="DW85" s="3417">
        <v>3320</v>
      </c>
      <c r="DX85" s="3417">
        <v>3212</v>
      </c>
      <c r="DY85" s="3417">
        <v>3871</v>
      </c>
      <c r="DZ85" s="3417">
        <v>4324</v>
      </c>
      <c r="EA85" s="3417">
        <v>3626</v>
      </c>
      <c r="EB85" s="3417">
        <v>3420</v>
      </c>
      <c r="EC85" s="3417">
        <v>3792</v>
      </c>
      <c r="ED85" s="3417">
        <v>4114</v>
      </c>
      <c r="EE85" s="3418">
        <v>4059</v>
      </c>
      <c r="EF85" s="2561">
        <f>53007-SUM(EF53:EF83)</f>
        <v>3570</v>
      </c>
      <c r="EG85" s="2562">
        <f>52567-SUM(EG53:EG83)</f>
        <v>3494</v>
      </c>
      <c r="EH85" s="2562">
        <f>58154-SUM(EH53:EH83)</f>
        <v>3839</v>
      </c>
      <c r="EI85" s="2562">
        <f>47644-SUM(EI53:EI83)</f>
        <v>3851</v>
      </c>
      <c r="EJ85" s="2562">
        <f>53921-SUM(EJ53:EJ83)</f>
        <v>3882</v>
      </c>
      <c r="EK85" s="2562">
        <f>70620-SUM(EK53:EK83)</f>
        <v>4239</v>
      </c>
      <c r="EL85" s="2562">
        <f>72893-SUM(EL53:EL83)</f>
        <v>4301</v>
      </c>
      <c r="EM85" s="2562">
        <v>3635</v>
      </c>
      <c r="EN85" s="2562">
        <v>3911</v>
      </c>
      <c r="EO85" s="2562">
        <v>4054</v>
      </c>
      <c r="EP85" s="2562">
        <f>54720-49952</f>
        <v>4768</v>
      </c>
      <c r="EQ85" s="2563">
        <f>71516-67031</f>
        <v>4485</v>
      </c>
      <c r="ER85" s="1325">
        <f>52976-49111+2</f>
        <v>3867</v>
      </c>
      <c r="ES85" s="1326">
        <v>3871</v>
      </c>
      <c r="ET85" s="1326">
        <f>54669-SUM(ET53:ET83)+1</f>
        <v>4529</v>
      </c>
      <c r="EU85" s="1326">
        <f>4834-5</f>
        <v>4829</v>
      </c>
      <c r="EV85" s="2109">
        <v>3586</v>
      </c>
      <c r="EW85" s="2109">
        <v>6971</v>
      </c>
      <c r="EX85" s="2109">
        <v>6736</v>
      </c>
      <c r="EY85" s="2109">
        <v>1079</v>
      </c>
      <c r="EZ85" s="2109">
        <v>3112</v>
      </c>
      <c r="FA85" s="1326">
        <f>'Llegadas '!N13-SUM('Tendencias nacionalidad'!FA53:FA83)</f>
        <v>2696</v>
      </c>
      <c r="FB85" s="1326">
        <f>'Llegadas '!N14-SUM('Tendencias nacionalidad'!FB53:FB83)</f>
        <v>3234</v>
      </c>
      <c r="FC85" s="1326">
        <f>'Llegadas '!N15-SUM('Tendencias nacionalidad'!FC53:FC83)</f>
        <v>3088</v>
      </c>
      <c r="FD85" s="2522">
        <f>'Llegadas '!O4-SUM('Tendencias nacionalidad'!FD53:FD83)</f>
        <v>3447</v>
      </c>
      <c r="FE85" s="2277">
        <f>'Llegadas '!O5-SUM('Tendencias nacionalidad'!FE53:FE83)</f>
        <v>2919</v>
      </c>
      <c r="FF85" s="2277">
        <f>'Llegadas '!O6-SUM('Tendencias nacionalidad'!FF53:FF83)</f>
        <v>1120</v>
      </c>
      <c r="FG85" s="2277">
        <f>'Llegadas '!O7-SUM('Tendencias nacionalidad'!FG53:FG83)</f>
        <v>23</v>
      </c>
      <c r="FH85" s="2277">
        <f>'Llegadas '!O8-SUM('Tendencias nacionalidad'!FH53:FH83)</f>
        <v>40</v>
      </c>
      <c r="FI85" s="2277">
        <f>'Llegadas '!O9-SUM('Tendencias nacionalidad'!FI53:FI83)</f>
        <v>81</v>
      </c>
      <c r="FJ85" s="2277">
        <f>'Llegadas '!O10-SUM('Tendencias nacionalidad'!FJ53:FJ83)</f>
        <v>160</v>
      </c>
      <c r="FK85" s="2277">
        <f>'Llegadas '!O11-SUM('Tendencias nacionalidad'!FK53:FK83)</f>
        <v>197</v>
      </c>
      <c r="FL85" s="2277">
        <f>'Llegadas '!O12-SUM('Tendencias nacionalidad'!FL53:FL83)</f>
        <v>256</v>
      </c>
      <c r="FM85" s="2277">
        <f>'Llegadas '!O13-SUM('Tendencias nacionalidad'!FM53:FM83)</f>
        <v>421</v>
      </c>
      <c r="FN85" s="2277">
        <f>'Llegadas '!O14-SUM('Tendencias nacionalidad'!FN53:FN83)</f>
        <v>533</v>
      </c>
      <c r="FO85" s="2277">
        <f>'Llegadas '!O15-SUM('Tendencias nacionalidad'!FO53:FO83)</f>
        <v>796</v>
      </c>
      <c r="FP85" s="2524">
        <f>'Llegadas '!$P$4-SUM('Tendencias nacionalidad'!FP54:FP84)</f>
        <v>-330</v>
      </c>
      <c r="FQ85" s="2523">
        <f>'Llegadas '!$P$5-SUM('Tendencias nacionalidad'!FQ54:FQ84)</f>
        <v>535</v>
      </c>
      <c r="FR85" s="2523">
        <f>'Llegadas '!$P$6-SUM('Tendencias nacionalidad'!FR54:FR84)</f>
        <v>676</v>
      </c>
      <c r="FS85" s="2523">
        <f>'Llegadas '!$P$7-SUM('Tendencias nacionalidad'!FS54:FS84)</f>
        <v>695</v>
      </c>
      <c r="FT85" s="2523">
        <f>'Llegadas '!$P$8-SUM('Tendencias nacionalidad'!FT54:FT84)</f>
        <v>698</v>
      </c>
      <c r="FU85" s="2523">
        <f>'Llegadas '!$P$9-SUM('Tendencias nacionalidad'!FU54:FU84)</f>
        <v>22654</v>
      </c>
      <c r="FV85" s="2523">
        <f>'Llegadas '!$P$10-SUM('Tendencias nacionalidad'!FV54:FV84)</f>
        <v>30018</v>
      </c>
      <c r="FW85" s="2523">
        <f>'Llegadas '!$P$11-SUM('Tendencias nacionalidad'!FW54:FW84)</f>
        <v>27480</v>
      </c>
      <c r="FX85" s="2523">
        <f>'Llegadas '!$P$12-SUM('Tendencias nacionalidad'!FX54:FX84)</f>
        <v>25275</v>
      </c>
      <c r="FY85" s="2523">
        <f>'Llegadas '!$P$13-SUM('Tendencias nacionalidad'!FY54:FY84)</f>
        <v>29775</v>
      </c>
      <c r="FZ85" s="2523">
        <f>'Llegadas '!$P$14-SUM('Tendencias nacionalidad'!FZ54:FZ84)</f>
        <v>35230</v>
      </c>
      <c r="GA85" s="2523">
        <f>'Llegadas '!$P$15-SUM('Tendencias nacionalidad'!GA54:GA84)</f>
        <v>42970</v>
      </c>
      <c r="GB85" s="2607"/>
      <c r="GC85" s="2778">
        <v>3653</v>
      </c>
      <c r="GD85" s="2779">
        <v>3376</v>
      </c>
      <c r="GE85" s="2779">
        <v>4705</v>
      </c>
      <c r="GF85" s="2780">
        <v>4418</v>
      </c>
      <c r="GG85" s="2781">
        <v>5050</v>
      </c>
      <c r="GH85" s="2782">
        <v>4593</v>
      </c>
      <c r="GI85" s="2782">
        <v>5892</v>
      </c>
      <c r="GJ85" s="2783">
        <v>5894</v>
      </c>
      <c r="GK85" s="2784">
        <v>5092</v>
      </c>
      <c r="GL85" s="2761">
        <v>5851.5</v>
      </c>
      <c r="GM85" s="2785">
        <v>6328</v>
      </c>
      <c r="GN85" s="2785">
        <v>5879</v>
      </c>
      <c r="GO85" s="2763">
        <v>6185</v>
      </c>
      <c r="GP85" s="2764">
        <v>5689</v>
      </c>
      <c r="GQ85" s="2764">
        <v>6106</v>
      </c>
      <c r="GR85" s="2765">
        <v>7245</v>
      </c>
      <c r="GS85" s="2766">
        <v>6483</v>
      </c>
      <c r="GT85" s="2767">
        <v>5946</v>
      </c>
      <c r="GU85" s="2767">
        <v>5449</v>
      </c>
      <c r="GV85" s="2768">
        <v>5829</v>
      </c>
      <c r="GW85" s="2764">
        <v>5744</v>
      </c>
      <c r="GX85" s="2764">
        <v>6164</v>
      </c>
      <c r="GY85" s="2764">
        <v>6850</v>
      </c>
      <c r="GZ85" s="2764">
        <v>7579</v>
      </c>
      <c r="HA85" s="2769">
        <v>8603</v>
      </c>
      <c r="HB85" s="2769">
        <v>8855</v>
      </c>
      <c r="HC85" s="2769">
        <v>8588</v>
      </c>
      <c r="HD85" s="2769">
        <v>10408</v>
      </c>
      <c r="HE85" s="2770">
        <v>6892</v>
      </c>
      <c r="HF85" s="2770">
        <v>7466</v>
      </c>
      <c r="HG85" s="2770">
        <f>+CP85+CQ85+CR85</f>
        <v>10990</v>
      </c>
      <c r="HH85" s="2770">
        <v>12986</v>
      </c>
      <c r="HI85" s="2771">
        <v>13159</v>
      </c>
      <c r="HJ85" s="2771">
        <f>+CY85+CZ85+DA85</f>
        <v>13743</v>
      </c>
      <c r="HK85" s="2771">
        <f>+DB85+DC85+DD85</f>
        <v>10247</v>
      </c>
      <c r="HL85" s="2770">
        <f>+DE85+DF85+DG85</f>
        <v>8562</v>
      </c>
      <c r="HM85" s="2689">
        <f>+DH85+DI85+DJ85</f>
        <v>7879</v>
      </c>
      <c r="HN85" s="2689">
        <f>+DM85+DL85+DK85</f>
        <v>6811</v>
      </c>
      <c r="HO85" s="2689">
        <f>+DS85+DO85+DN85</f>
        <v>9052</v>
      </c>
      <c r="HP85" s="2689">
        <f>+DQ85+DR85+DS85</f>
        <v>13006</v>
      </c>
      <c r="HQ85" s="2764">
        <f>+DT85+DU85+DV85</f>
        <v>9457</v>
      </c>
      <c r="HR85" s="2764">
        <f>+DW85+DX85+DY85</f>
        <v>10403</v>
      </c>
      <c r="HS85" s="2764">
        <f>+DZ85+EA85+EB85</f>
        <v>11370</v>
      </c>
      <c r="HT85" s="2764">
        <f>+EC85+ED85+EE85</f>
        <v>11965</v>
      </c>
      <c r="HU85" s="2772">
        <f>EF85+EG85+EH85</f>
        <v>10903</v>
      </c>
      <c r="HV85" s="2769">
        <f>EI85+EJ85+EK85</f>
        <v>11972</v>
      </c>
      <c r="HW85" s="2769">
        <f>EL85+EM85+EN85</f>
        <v>11847</v>
      </c>
      <c r="HX85" s="2769">
        <f>EO85+EP85+EQ85</f>
        <v>13307</v>
      </c>
      <c r="HY85" s="2773">
        <f t="shared" si="33"/>
        <v>12267</v>
      </c>
      <c r="HZ85" s="2774">
        <f t="shared" si="34"/>
        <v>15386</v>
      </c>
      <c r="IA85" s="2774">
        <f t="shared" si="35"/>
        <v>10927</v>
      </c>
      <c r="IB85" s="2774">
        <f t="shared" si="36"/>
        <v>9018</v>
      </c>
      <c r="IC85" s="2775">
        <f t="shared" si="65"/>
        <v>7486</v>
      </c>
      <c r="ID85" s="2776">
        <f t="shared" si="66"/>
        <v>144</v>
      </c>
      <c r="IE85" s="2776">
        <f t="shared" si="67"/>
        <v>613</v>
      </c>
      <c r="IF85" s="2777">
        <f t="shared" si="68"/>
        <v>1750</v>
      </c>
      <c r="IG85" s="2772">
        <f t="shared" si="51"/>
        <v>881</v>
      </c>
      <c r="IH85" s="2769">
        <f t="shared" si="52"/>
        <v>24047</v>
      </c>
      <c r="II85" s="2769">
        <f t="shared" si="53"/>
        <v>82773</v>
      </c>
      <c r="IJ85" s="2769">
        <f t="shared" si="54"/>
        <v>107975</v>
      </c>
      <c r="IK85" s="2578"/>
      <c r="IL85" s="3419">
        <v>16152</v>
      </c>
      <c r="IM85" s="3420">
        <v>21429</v>
      </c>
      <c r="IN85" s="3420">
        <v>23150.5</v>
      </c>
      <c r="IO85" s="3420">
        <v>25225</v>
      </c>
      <c r="IP85" s="3420">
        <v>23707</v>
      </c>
      <c r="IQ85" s="3420">
        <v>26337</v>
      </c>
      <c r="IR85" s="3421">
        <f>36454+28</f>
        <v>36482</v>
      </c>
      <c r="IS85" s="3422">
        <v>38334</v>
      </c>
      <c r="IT85" s="3422">
        <f t="shared" si="37"/>
        <v>45711</v>
      </c>
      <c r="IU85" s="3422">
        <f t="shared" si="38"/>
        <v>35590</v>
      </c>
      <c r="IV85" s="3422">
        <f>SUM(DT85:EE85)+12</f>
        <v>43207</v>
      </c>
      <c r="IW85" s="3422">
        <f t="shared" si="40"/>
        <v>48029</v>
      </c>
      <c r="IX85" s="3423">
        <f>684390-SUM(IX53:IX83)</f>
        <v>47598</v>
      </c>
      <c r="IY85" s="3424">
        <f>SUM(FD85:FO85)</f>
        <v>9993</v>
      </c>
      <c r="IZ85" s="3576">
        <f>'Llegadas '!$P$16-SUM('Tendencias nacionalidad'!IZ54:IZ84)</f>
        <v>181978</v>
      </c>
      <c r="JA85" s="3577">
        <f>SUM(FP85:FT85)</f>
        <v>2274</v>
      </c>
      <c r="JC85" s="3425">
        <f t="shared" si="59"/>
        <v>95985.5</v>
      </c>
      <c r="JD85" s="3366">
        <f>IU85/$IU$86</f>
        <v>5.6705745141214674E-2</v>
      </c>
      <c r="JE85" s="3366">
        <f>IV85/$IV$86</f>
        <v>6.6173914242086837E-2</v>
      </c>
      <c r="JF85" s="3366">
        <f>IW85/$IX$86</f>
        <v>7.0177822586536917E-2</v>
      </c>
      <c r="JG85" s="3366">
        <f>IX85/$IX$86</f>
        <v>6.9548064699951784E-2</v>
      </c>
      <c r="JH85" s="3366">
        <f t="shared" si="61"/>
        <v>5.247955802265554E-2</v>
      </c>
      <c r="JI85" s="3379">
        <f t="shared" si="62"/>
        <v>0.64761775968341184</v>
      </c>
      <c r="JJ85" s="3366"/>
      <c r="JK85" s="3426">
        <f>IV85/IU85-1</f>
        <v>0.21402079235740379</v>
      </c>
      <c r="JL85" s="3427">
        <f>JC85/IU85-1</f>
        <v>1.696979488620399</v>
      </c>
      <c r="JM85" s="3427">
        <f t="shared" ref="JM85:JO86" si="70">IW85/IV85-1</f>
        <v>0.11160228666651228</v>
      </c>
      <c r="JN85" s="3427">
        <f t="shared" si="70"/>
        <v>-8.9737450290449106E-3</v>
      </c>
      <c r="JO85" s="3427">
        <f t="shared" si="70"/>
        <v>-0.79005420395814951</v>
      </c>
      <c r="JP85" s="3370">
        <f t="shared" si="63"/>
        <v>2.8232278667170889</v>
      </c>
      <c r="JQ85" s="3371">
        <f>IF(IY85="","",IZ85/IY85-1)</f>
        <v>17.210547383168219</v>
      </c>
    </row>
    <row r="86" spans="1:301" ht="15" thickBot="1">
      <c r="A86" s="3428"/>
      <c r="B86" s="3429"/>
      <c r="C86" s="3430" t="s">
        <v>52</v>
      </c>
      <c r="D86" s="3431">
        <v>29447</v>
      </c>
      <c r="E86" s="3432">
        <v>29249</v>
      </c>
      <c r="F86" s="3432">
        <v>32536</v>
      </c>
      <c r="G86" s="3432">
        <v>26929</v>
      </c>
      <c r="H86" s="3432">
        <v>28526</v>
      </c>
      <c r="I86" s="3432">
        <v>41105</v>
      </c>
      <c r="J86" s="3432">
        <v>49933</v>
      </c>
      <c r="K86" s="3432">
        <v>42244</v>
      </c>
      <c r="L86" s="3432">
        <v>31407</v>
      </c>
      <c r="M86" s="3432">
        <v>33891</v>
      </c>
      <c r="N86" s="3432">
        <v>35806</v>
      </c>
      <c r="O86" s="3433">
        <v>36780</v>
      </c>
      <c r="P86" s="3434">
        <v>34991</v>
      </c>
      <c r="Q86" s="3435">
        <v>46490</v>
      </c>
      <c r="R86" s="3435">
        <v>36805</v>
      </c>
      <c r="S86" s="3435">
        <v>31105</v>
      </c>
      <c r="T86" s="3435">
        <v>35598</v>
      </c>
      <c r="U86" s="3435">
        <v>45584</v>
      </c>
      <c r="V86" s="3435">
        <v>50484</v>
      </c>
      <c r="W86" s="3435">
        <v>43576</v>
      </c>
      <c r="X86" s="3435">
        <v>34318</v>
      </c>
      <c r="Y86" s="3435">
        <v>36977</v>
      </c>
      <c r="Z86" s="3435">
        <v>38290</v>
      </c>
      <c r="AA86" s="3436">
        <v>37281</v>
      </c>
      <c r="AB86" s="3437">
        <v>35904</v>
      </c>
      <c r="AC86" s="3438">
        <v>32995</v>
      </c>
      <c r="AD86" s="3438">
        <v>34242</v>
      </c>
      <c r="AE86" s="3438">
        <v>33161</v>
      </c>
      <c r="AF86" s="3438">
        <v>32773</v>
      </c>
      <c r="AG86" s="3438">
        <v>46796</v>
      </c>
      <c r="AH86" s="3438">
        <v>50069</v>
      </c>
      <c r="AI86" s="3438">
        <v>44378</v>
      </c>
      <c r="AJ86" s="3438">
        <v>33494</v>
      </c>
      <c r="AK86" s="3438">
        <v>35959</v>
      </c>
      <c r="AL86" s="3438">
        <v>38401</v>
      </c>
      <c r="AM86" s="3439">
        <v>43693</v>
      </c>
      <c r="AN86" s="3440">
        <v>38603</v>
      </c>
      <c r="AO86" s="3441">
        <v>39843</v>
      </c>
      <c r="AP86" s="3441">
        <v>38029</v>
      </c>
      <c r="AQ86" s="3441">
        <v>31598</v>
      </c>
      <c r="AR86" s="3441">
        <v>37116</v>
      </c>
      <c r="AS86" s="3441">
        <v>46093</v>
      </c>
      <c r="AT86" s="3441">
        <v>49766</v>
      </c>
      <c r="AU86" s="3441">
        <v>42481</v>
      </c>
      <c r="AV86" s="3441">
        <v>33003</v>
      </c>
      <c r="AW86" s="3441">
        <v>38298</v>
      </c>
      <c r="AX86" s="3441">
        <v>38171</v>
      </c>
      <c r="AY86" s="3442">
        <v>41220</v>
      </c>
      <c r="AZ86" s="3443">
        <v>37463</v>
      </c>
      <c r="BA86" s="3443">
        <v>35978</v>
      </c>
      <c r="BB86" s="3443">
        <v>39415</v>
      </c>
      <c r="BC86" s="3443">
        <v>35949</v>
      </c>
      <c r="BD86" s="3443">
        <v>38023</v>
      </c>
      <c r="BE86" s="3443">
        <v>47844</v>
      </c>
      <c r="BF86" s="3443">
        <v>51152</v>
      </c>
      <c r="BG86" s="3443">
        <v>43036</v>
      </c>
      <c r="BH86" s="3443">
        <v>34628</v>
      </c>
      <c r="BI86" s="3443">
        <v>38582</v>
      </c>
      <c r="BJ86" s="3443">
        <v>41073</v>
      </c>
      <c r="BK86" s="3444">
        <v>44235</v>
      </c>
      <c r="BL86" s="3445">
        <v>37773</v>
      </c>
      <c r="BM86" s="3446">
        <v>35654</v>
      </c>
      <c r="BN86" s="3446">
        <v>40663</v>
      </c>
      <c r="BO86" s="3446">
        <v>36524</v>
      </c>
      <c r="BP86" s="3446">
        <v>40720</v>
      </c>
      <c r="BQ86" s="3446">
        <v>54166</v>
      </c>
      <c r="BR86" s="3446">
        <v>56168</v>
      </c>
      <c r="BS86" s="3446">
        <v>46212</v>
      </c>
      <c r="BT86" s="3447">
        <v>39747</v>
      </c>
      <c r="BU86" s="3447">
        <v>44864</v>
      </c>
      <c r="BV86" s="3447">
        <v>46422</v>
      </c>
      <c r="BW86" s="3448">
        <v>54545</v>
      </c>
      <c r="BX86" s="3449">
        <v>46137</v>
      </c>
      <c r="BY86" s="3450">
        <v>43174</v>
      </c>
      <c r="BZ86" s="3450">
        <v>49027</v>
      </c>
      <c r="CA86" s="3450">
        <v>41634</v>
      </c>
      <c r="CB86" s="3450">
        <v>48103</v>
      </c>
      <c r="CC86" s="3450">
        <v>61054</v>
      </c>
      <c r="CD86" s="3450">
        <v>64119</v>
      </c>
      <c r="CE86" s="3450">
        <v>52709</v>
      </c>
      <c r="CF86" s="3450">
        <v>49386</v>
      </c>
      <c r="CG86" s="3450">
        <v>52967</v>
      </c>
      <c r="CH86" s="3450">
        <v>56261</v>
      </c>
      <c r="CI86" s="3451">
        <v>64359</v>
      </c>
      <c r="CJ86" s="3452">
        <v>51688</v>
      </c>
      <c r="CK86" s="3453">
        <v>53622</v>
      </c>
      <c r="CL86" s="3453">
        <v>51748</v>
      </c>
      <c r="CM86" s="3453">
        <v>49570</v>
      </c>
      <c r="CN86" s="3453">
        <v>52174</v>
      </c>
      <c r="CO86" s="3453">
        <v>58795</v>
      </c>
      <c r="CP86" s="3453">
        <v>71099</v>
      </c>
      <c r="CQ86" s="3453">
        <v>57790</v>
      </c>
      <c r="CR86" s="3453">
        <v>55854</v>
      </c>
      <c r="CS86" s="3453">
        <v>59469</v>
      </c>
      <c r="CT86" s="3453">
        <v>63257</v>
      </c>
      <c r="CU86" s="3454">
        <v>77949</v>
      </c>
      <c r="CV86" s="3449">
        <v>58224</v>
      </c>
      <c r="CW86" s="3450">
        <v>53321</v>
      </c>
      <c r="CX86" s="3451">
        <v>59393</v>
      </c>
      <c r="CY86" s="3451">
        <v>53854</v>
      </c>
      <c r="CZ86" s="3451">
        <v>56638</v>
      </c>
      <c r="DA86" s="3451">
        <v>67138</v>
      </c>
      <c r="DB86" s="3451">
        <v>73006</v>
      </c>
      <c r="DC86" s="3451">
        <v>52994</v>
      </c>
      <c r="DD86" s="3451">
        <v>51643</v>
      </c>
      <c r="DE86" s="3451">
        <v>56449</v>
      </c>
      <c r="DF86" s="3451">
        <v>61342</v>
      </c>
      <c r="DG86" s="3455">
        <v>68875</v>
      </c>
      <c r="DH86" s="3456">
        <v>52833</v>
      </c>
      <c r="DI86" s="3457">
        <v>51438</v>
      </c>
      <c r="DJ86" s="3457">
        <v>54420</v>
      </c>
      <c r="DK86" s="3458">
        <v>40983</v>
      </c>
      <c r="DL86" s="3458">
        <v>46162</v>
      </c>
      <c r="DM86" s="3458">
        <v>61277</v>
      </c>
      <c r="DN86" s="3458">
        <v>66352</v>
      </c>
      <c r="DO86" s="3458">
        <v>47805</v>
      </c>
      <c r="DP86" s="3459">
        <f>SUM(DP53:DP85)</f>
        <v>40169</v>
      </c>
      <c r="DQ86" s="3458">
        <v>53831</v>
      </c>
      <c r="DR86" s="3458">
        <v>48311</v>
      </c>
      <c r="DS86" s="3460">
        <v>64045</v>
      </c>
      <c r="DT86" s="3461">
        <v>50617</v>
      </c>
      <c r="DU86" s="3462">
        <v>47432</v>
      </c>
      <c r="DV86" s="3462">
        <v>53030</v>
      </c>
      <c r="DW86" s="3463">
        <v>50212</v>
      </c>
      <c r="DX86" s="3463">
        <v>47035</v>
      </c>
      <c r="DY86" s="3463">
        <v>65878</v>
      </c>
      <c r="DZ86" s="3463">
        <v>70150</v>
      </c>
      <c r="EA86" s="3463">
        <v>51198</v>
      </c>
      <c r="EB86" s="3463">
        <v>45357</v>
      </c>
      <c r="EC86" s="3463">
        <v>49733</v>
      </c>
      <c r="ED86" s="3463">
        <v>52215</v>
      </c>
      <c r="EE86" s="3462">
        <v>70062</v>
      </c>
      <c r="EF86" s="3464">
        <f>SUM(EF53:EF85)</f>
        <v>53007</v>
      </c>
      <c r="EG86" s="3461">
        <f t="shared" ref="EG86:EQ86" si="71">SUM(EG53:EG85)</f>
        <v>52567</v>
      </c>
      <c r="EH86" s="3461">
        <f t="shared" si="71"/>
        <v>58154</v>
      </c>
      <c r="EI86" s="3461">
        <f t="shared" si="71"/>
        <v>47644</v>
      </c>
      <c r="EJ86" s="3461">
        <f t="shared" si="71"/>
        <v>53921</v>
      </c>
      <c r="EK86" s="3461">
        <f t="shared" si="71"/>
        <v>70620</v>
      </c>
      <c r="EL86" s="3461">
        <f t="shared" si="71"/>
        <v>72893</v>
      </c>
      <c r="EM86" s="3461">
        <f t="shared" si="71"/>
        <v>54375</v>
      </c>
      <c r="EN86" s="3461">
        <f t="shared" si="71"/>
        <v>50018</v>
      </c>
      <c r="EO86" s="3461">
        <f t="shared" si="71"/>
        <v>53057</v>
      </c>
      <c r="EP86" s="3461">
        <f t="shared" si="71"/>
        <v>54720</v>
      </c>
      <c r="EQ86" s="3461">
        <f t="shared" si="71"/>
        <v>71516</v>
      </c>
      <c r="ER86" s="3464">
        <f>SUM(ER53:ER85)</f>
        <v>52978</v>
      </c>
      <c r="ES86" s="3464">
        <f t="shared" ref="ES86:GA86" si="72">SUM(ES53:ES85)</f>
        <v>51944</v>
      </c>
      <c r="ET86" s="3464">
        <f t="shared" si="72"/>
        <v>54670</v>
      </c>
      <c r="EU86" s="3464">
        <f t="shared" si="72"/>
        <v>53311</v>
      </c>
      <c r="EV86" s="3464">
        <f t="shared" si="72"/>
        <v>53992</v>
      </c>
      <c r="EW86" s="3464">
        <f t="shared" si="72"/>
        <v>70733</v>
      </c>
      <c r="EX86" s="3464">
        <f t="shared" si="72"/>
        <v>76918</v>
      </c>
      <c r="EY86" s="3464">
        <f t="shared" si="72"/>
        <v>57411</v>
      </c>
      <c r="EZ86" s="3464">
        <f t="shared" si="72"/>
        <v>52806</v>
      </c>
      <c r="FA86" s="3464">
        <f t="shared" si="72"/>
        <v>42426</v>
      </c>
      <c r="FB86" s="3464">
        <f t="shared" si="72"/>
        <v>52993</v>
      </c>
      <c r="FC86" s="3464">
        <f t="shared" si="72"/>
        <v>64208</v>
      </c>
      <c r="FD86" s="2786">
        <f t="shared" si="72"/>
        <v>57800</v>
      </c>
      <c r="FE86" s="2786">
        <f t="shared" si="72"/>
        <v>54899</v>
      </c>
      <c r="FF86" s="2786">
        <f t="shared" si="72"/>
        <v>22206</v>
      </c>
      <c r="FG86" s="2786">
        <f t="shared" si="72"/>
        <v>379</v>
      </c>
      <c r="FH86" s="2786">
        <f t="shared" si="72"/>
        <v>650</v>
      </c>
      <c r="FI86" s="2786">
        <f t="shared" si="72"/>
        <v>1431</v>
      </c>
      <c r="FJ86" s="2786">
        <f t="shared" si="72"/>
        <v>3655</v>
      </c>
      <c r="FK86" s="2786">
        <f t="shared" si="72"/>
        <v>4553</v>
      </c>
      <c r="FL86" s="2786">
        <f t="shared" si="72"/>
        <v>5708</v>
      </c>
      <c r="FM86" s="2786">
        <f t="shared" si="72"/>
        <v>9063</v>
      </c>
      <c r="FN86" s="2786">
        <f t="shared" si="72"/>
        <v>11553</v>
      </c>
      <c r="FO86" s="2787">
        <f t="shared" si="72"/>
        <v>18520</v>
      </c>
      <c r="FP86" s="2786">
        <f>SUM(FP53:FP85)</f>
        <v>14237</v>
      </c>
      <c r="FQ86" s="2786">
        <f t="shared" si="72"/>
        <v>10895</v>
      </c>
      <c r="FR86" s="2786">
        <f t="shared" si="72"/>
        <v>13935</v>
      </c>
      <c r="FS86" s="2786">
        <f t="shared" si="72"/>
        <v>13232</v>
      </c>
      <c r="FT86" s="2786">
        <f t="shared" si="72"/>
        <v>15295</v>
      </c>
      <c r="FU86" s="2786">
        <f t="shared" si="72"/>
        <v>22654</v>
      </c>
      <c r="FV86" s="2786">
        <f t="shared" si="72"/>
        <v>30018</v>
      </c>
      <c r="FW86" s="2786">
        <f t="shared" si="72"/>
        <v>27480</v>
      </c>
      <c r="FX86" s="2786">
        <f t="shared" si="72"/>
        <v>25275</v>
      </c>
      <c r="FY86" s="2786">
        <f t="shared" si="72"/>
        <v>29775</v>
      </c>
      <c r="FZ86" s="2786">
        <f t="shared" si="72"/>
        <v>35230</v>
      </c>
      <c r="GA86" s="2786">
        <f t="shared" si="72"/>
        <v>42970</v>
      </c>
      <c r="GB86" s="2788"/>
      <c r="GC86" s="2789">
        <v>91232</v>
      </c>
      <c r="GD86" s="2790">
        <v>96560</v>
      </c>
      <c r="GE86" s="2790">
        <v>123584</v>
      </c>
      <c r="GF86" s="2791">
        <v>106477</v>
      </c>
      <c r="GG86" s="2792">
        <v>118286</v>
      </c>
      <c r="GH86" s="2793">
        <v>112287</v>
      </c>
      <c r="GI86" s="2793">
        <v>128378</v>
      </c>
      <c r="GJ86" s="2794">
        <v>112548</v>
      </c>
      <c r="GK86" s="2795">
        <v>103141</v>
      </c>
      <c r="GL86" s="2796">
        <v>112730</v>
      </c>
      <c r="GM86" s="2796">
        <v>127941</v>
      </c>
      <c r="GN86" s="2796">
        <v>118053</v>
      </c>
      <c r="GO86" s="2797">
        <v>116475</v>
      </c>
      <c r="GP86" s="2798">
        <v>114807</v>
      </c>
      <c r="GQ86" s="2798">
        <v>125250</v>
      </c>
      <c r="GR86" s="2799">
        <v>117689</v>
      </c>
      <c r="GS86" s="2800">
        <v>112856</v>
      </c>
      <c r="GT86" s="2801">
        <v>121816</v>
      </c>
      <c r="GU86" s="2801">
        <v>128816</v>
      </c>
      <c r="GV86" s="2802">
        <v>123890</v>
      </c>
      <c r="GW86" s="2798">
        <v>114090</v>
      </c>
      <c r="GX86" s="2798">
        <v>131410</v>
      </c>
      <c r="GY86" s="2798">
        <v>142127</v>
      </c>
      <c r="GZ86" s="2798">
        <v>145831</v>
      </c>
      <c r="HA86" s="2803">
        <v>138338</v>
      </c>
      <c r="HB86" s="2803">
        <v>150791</v>
      </c>
      <c r="HC86" s="2803">
        <v>166214</v>
      </c>
      <c r="HD86" s="2803">
        <v>173587</v>
      </c>
      <c r="HE86" s="2804">
        <v>157058</v>
      </c>
      <c r="HF86" s="2804">
        <v>160539</v>
      </c>
      <c r="HG86" s="2804">
        <f>+CP86+CQ86+CR86</f>
        <v>184743</v>
      </c>
      <c r="HH86" s="2804">
        <v>200675</v>
      </c>
      <c r="HI86" s="2805">
        <v>170938</v>
      </c>
      <c r="HJ86" s="2805">
        <f>+CY86+CZ86+DA86</f>
        <v>177630</v>
      </c>
      <c r="HK86" s="2805">
        <f>+DB86+DC86+DD86</f>
        <v>177643</v>
      </c>
      <c r="HL86" s="2804">
        <f>+DE86+DF86+DG86</f>
        <v>186666</v>
      </c>
      <c r="HM86" s="2806">
        <f>+DH86+DI86+DJ86</f>
        <v>158691</v>
      </c>
      <c r="HN86" s="2806">
        <f>+DM86+DL86+DK86</f>
        <v>148422</v>
      </c>
      <c r="HO86" s="2806">
        <f>+DS86+DO86+DN86</f>
        <v>178202</v>
      </c>
      <c r="HP86" s="2806">
        <f>+DQ86+DR86+DS86</f>
        <v>166187</v>
      </c>
      <c r="HQ86" s="2798">
        <f>+DT86+DU86+DV86</f>
        <v>151079</v>
      </c>
      <c r="HR86" s="2798">
        <f>+DW86+DX86+DY86</f>
        <v>163125</v>
      </c>
      <c r="HS86" s="2798">
        <f>+DZ86+EA86+EB86</f>
        <v>166705</v>
      </c>
      <c r="HT86" s="2798">
        <f>+EC86+ED86+EE86</f>
        <v>172010</v>
      </c>
      <c r="HU86" s="2807">
        <f>EF86+EG86+EH86</f>
        <v>163728</v>
      </c>
      <c r="HV86" s="2803">
        <f>EI86+EJ86+EK86</f>
        <v>172185</v>
      </c>
      <c r="HW86" s="2803">
        <f>EL86+EM86+EN86</f>
        <v>177286</v>
      </c>
      <c r="HX86" s="2803">
        <f>EO86+EP86+EQ86</f>
        <v>179293</v>
      </c>
      <c r="HY86" s="2808">
        <f t="shared" si="33"/>
        <v>159592</v>
      </c>
      <c r="HZ86" s="2809">
        <f t="shared" si="34"/>
        <v>178036</v>
      </c>
      <c r="IA86" s="2809">
        <f t="shared" si="35"/>
        <v>187135</v>
      </c>
      <c r="IB86" s="2809">
        <f t="shared" si="36"/>
        <v>159627</v>
      </c>
      <c r="IC86" s="2810">
        <f t="shared" si="65"/>
        <v>134905</v>
      </c>
      <c r="ID86" s="2811">
        <f t="shared" si="66"/>
        <v>2460</v>
      </c>
      <c r="IE86" s="2811">
        <f t="shared" si="67"/>
        <v>13916</v>
      </c>
      <c r="IF86" s="2812">
        <f t="shared" si="68"/>
        <v>39136</v>
      </c>
      <c r="IG86" s="2807">
        <f>FP86+FQ86+FR86</f>
        <v>39067</v>
      </c>
      <c r="IH86" s="2803">
        <f>FS86+FT86+FU86</f>
        <v>51181</v>
      </c>
      <c r="II86" s="2803">
        <f>FV86+FW86+FX86</f>
        <v>82773</v>
      </c>
      <c r="IJ86" s="2803">
        <f>FY86+FZ86+GA86</f>
        <v>107975</v>
      </c>
      <c r="IK86" s="2579"/>
      <c r="IL86" s="3465">
        <f>SUM(IL53:IL85)</f>
        <v>417853</v>
      </c>
      <c r="IM86" s="3465">
        <f>SUM(IM53:IM85)</f>
        <v>471499</v>
      </c>
      <c r="IN86" s="3466">
        <v>461865</v>
      </c>
      <c r="IO86" s="3466">
        <f>SUM(IO53:IO85)</f>
        <v>474221</v>
      </c>
      <c r="IP86" s="3466">
        <f t="shared" ref="IP86:IW86" si="73">SUM(IP53:IP85)</f>
        <v>487378</v>
      </c>
      <c r="IQ86" s="3466">
        <f t="shared" si="73"/>
        <v>533458</v>
      </c>
      <c r="IR86" s="3466">
        <f t="shared" si="73"/>
        <v>628958</v>
      </c>
      <c r="IS86" s="3466">
        <f t="shared" si="73"/>
        <v>703015</v>
      </c>
      <c r="IT86" s="3466">
        <f t="shared" si="73"/>
        <v>712877</v>
      </c>
      <c r="IU86" s="3466">
        <f t="shared" si="73"/>
        <v>627626</v>
      </c>
      <c r="IV86" s="3466">
        <f t="shared" si="73"/>
        <v>652931</v>
      </c>
      <c r="IW86" s="3466">
        <f t="shared" si="73"/>
        <v>692492</v>
      </c>
      <c r="IX86" s="3467">
        <f>SUM(IX53:IX85)</f>
        <v>684390</v>
      </c>
      <c r="IY86" s="3468">
        <f>SUM(IY53:IY85)</f>
        <v>190417</v>
      </c>
      <c r="IZ86" s="3469">
        <f>SUM(IZ54:IZ85)</f>
        <v>280996</v>
      </c>
      <c r="JA86" s="3580">
        <f>SUM(JA54:JA85)</f>
        <v>67594</v>
      </c>
      <c r="JC86" s="3470">
        <f t="shared" si="59"/>
        <v>235706.5</v>
      </c>
      <c r="JD86" s="3471"/>
      <c r="JE86" s="3471"/>
      <c r="JF86" s="3471"/>
      <c r="JG86" s="3471"/>
      <c r="JH86" s="3471"/>
      <c r="JI86" s="3471"/>
      <c r="JJ86" s="3471"/>
      <c r="JK86" s="3472">
        <f>IV86/IU86-1</f>
        <v>4.0318597381242993E-2</v>
      </c>
      <c r="JL86" s="3472">
        <f>JC86/IU86-1</f>
        <v>-0.62444752129452885</v>
      </c>
      <c r="JM86" s="3473">
        <f t="shared" si="70"/>
        <v>6.0589863247418219E-2</v>
      </c>
      <c r="JN86" s="3473">
        <f t="shared" si="70"/>
        <v>-1.1699774149015463E-2</v>
      </c>
      <c r="JO86" s="3473">
        <f t="shared" si="70"/>
        <v>-0.72177121232046049</v>
      </c>
      <c r="JP86" s="3474">
        <f t="shared" si="63"/>
        <v>-0.58942123642952116</v>
      </c>
      <c r="JQ86" s="3475">
        <f>IZ86/IY86-1</f>
        <v>0.47568756991235017</v>
      </c>
    </row>
    <row r="87" spans="1:301" ht="15" thickBot="1">
      <c r="A87" s="3476"/>
      <c r="B87" s="3285"/>
      <c r="C87" s="3477" t="s">
        <v>478</v>
      </c>
      <c r="D87" s="2604"/>
      <c r="E87" s="2573"/>
      <c r="F87" s="2573"/>
      <c r="G87" s="2568"/>
      <c r="H87" s="2573"/>
      <c r="I87" s="2573"/>
      <c r="J87" s="2573"/>
      <c r="K87" s="2573"/>
      <c r="L87" s="2573"/>
      <c r="M87" s="2568"/>
      <c r="N87" s="2573"/>
      <c r="O87" s="2573"/>
      <c r="P87" s="2573"/>
      <c r="Q87" s="2573"/>
      <c r="R87" s="2573"/>
      <c r="S87" s="2568"/>
      <c r="T87" s="2573"/>
      <c r="U87" s="2573"/>
      <c r="V87" s="2573"/>
      <c r="W87" s="2573"/>
      <c r="X87" s="2573"/>
      <c r="Y87" s="2573"/>
      <c r="Z87" s="2573"/>
      <c r="AA87" s="2573"/>
      <c r="AB87" s="2573">
        <v>0</v>
      </c>
      <c r="AC87" s="2573">
        <v>0</v>
      </c>
      <c r="AD87" s="2573">
        <v>0</v>
      </c>
      <c r="AE87" s="2573">
        <v>0</v>
      </c>
      <c r="AF87" s="2573">
        <v>0</v>
      </c>
      <c r="AG87" s="2573">
        <v>0</v>
      </c>
      <c r="AH87" s="2573">
        <v>0</v>
      </c>
      <c r="AI87" s="2573">
        <v>0</v>
      </c>
      <c r="AJ87" s="2573">
        <v>0</v>
      </c>
      <c r="AK87" s="2573">
        <v>0</v>
      </c>
      <c r="AL87" s="2573">
        <v>0</v>
      </c>
      <c r="AM87" s="2573">
        <v>0</v>
      </c>
      <c r="AN87" s="2573"/>
      <c r="AO87" s="2573"/>
      <c r="AP87" s="2573"/>
      <c r="AQ87" s="2573"/>
      <c r="AR87" s="2573"/>
      <c r="AS87" s="2573"/>
      <c r="AT87" s="2573"/>
      <c r="AU87" s="2573"/>
      <c r="AV87" s="2573"/>
      <c r="AW87" s="2573"/>
      <c r="AX87" s="2573">
        <v>0</v>
      </c>
      <c r="AY87" s="2573">
        <v>0</v>
      </c>
      <c r="AZ87" s="2573">
        <v>0</v>
      </c>
      <c r="BA87" s="2573">
        <v>0</v>
      </c>
      <c r="BB87" s="2573">
        <v>0</v>
      </c>
      <c r="BC87" s="2573"/>
      <c r="BD87" s="2573">
        <v>0</v>
      </c>
      <c r="BE87" s="2573">
        <v>0</v>
      </c>
      <c r="BF87" s="2573"/>
      <c r="BG87" s="2573">
        <v>0</v>
      </c>
      <c r="BH87" s="2573"/>
      <c r="BI87" s="2573">
        <v>0</v>
      </c>
      <c r="BJ87" s="2573">
        <v>0</v>
      </c>
      <c r="BK87" s="2573">
        <v>0</v>
      </c>
      <c r="BL87" s="2573">
        <v>0</v>
      </c>
      <c r="BM87" s="2573"/>
      <c r="BN87" s="2573"/>
      <c r="BO87" s="2573"/>
      <c r="BP87" s="2573"/>
      <c r="BQ87" s="2573"/>
      <c r="BR87" s="2573"/>
      <c r="BS87" s="2573"/>
      <c r="BT87" s="2573">
        <v>0</v>
      </c>
      <c r="BU87" s="2573"/>
      <c r="BV87" s="2573"/>
      <c r="BW87" s="2573"/>
      <c r="BX87" s="2573"/>
      <c r="BY87" s="2573"/>
      <c r="BZ87" s="2573"/>
      <c r="CA87" s="2573"/>
      <c r="CB87" s="2573"/>
      <c r="CC87" s="2573">
        <v>5607</v>
      </c>
      <c r="CD87" s="2573"/>
      <c r="CE87" s="2573"/>
      <c r="CF87" s="2573"/>
      <c r="CG87" s="2573"/>
      <c r="CH87" s="2573"/>
      <c r="CI87" s="2573"/>
      <c r="CJ87" s="2573"/>
      <c r="CK87" s="2573"/>
      <c r="CL87" s="2573"/>
      <c r="CM87" s="2573"/>
      <c r="CN87" s="2573"/>
      <c r="CO87" s="2573"/>
      <c r="CP87" s="2573"/>
      <c r="CQ87" s="2573"/>
      <c r="CR87" s="2573"/>
      <c r="CS87" s="2573"/>
      <c r="CT87" s="2573"/>
      <c r="CU87" s="2573"/>
      <c r="CV87" s="2573"/>
      <c r="CW87" s="2573"/>
      <c r="CX87" s="2573"/>
      <c r="CY87" s="2573"/>
      <c r="CZ87" s="2573"/>
      <c r="DA87" s="2573"/>
      <c r="DB87" s="2573"/>
      <c r="DC87" s="2573"/>
      <c r="DD87" s="2573"/>
      <c r="DE87" s="2573"/>
      <c r="DF87" s="2573"/>
      <c r="DG87" s="2573"/>
      <c r="DH87" s="3290">
        <v>0</v>
      </c>
      <c r="DI87" s="3290">
        <v>0</v>
      </c>
      <c r="DJ87" s="3290">
        <v>0</v>
      </c>
      <c r="DK87" s="3290">
        <v>0</v>
      </c>
      <c r="DL87" s="3290">
        <v>0</v>
      </c>
      <c r="DM87" s="3290">
        <v>0</v>
      </c>
      <c r="DN87" s="3290">
        <v>0</v>
      </c>
      <c r="DO87" s="3290">
        <v>0</v>
      </c>
      <c r="DP87" s="3290">
        <v>0</v>
      </c>
      <c r="DQ87" s="3290">
        <v>0</v>
      </c>
      <c r="DR87" s="3290">
        <v>0</v>
      </c>
      <c r="DS87" s="3290">
        <v>0</v>
      </c>
      <c r="DT87" s="3290">
        <v>0</v>
      </c>
      <c r="DU87" s="3290">
        <v>0</v>
      </c>
      <c r="DV87" s="3290">
        <v>0</v>
      </c>
      <c r="DW87" s="3290">
        <v>0</v>
      </c>
      <c r="DX87" s="3290">
        <v>0</v>
      </c>
      <c r="DY87" s="3290">
        <v>0</v>
      </c>
      <c r="DZ87" s="3290"/>
      <c r="EA87" s="3290"/>
      <c r="EB87" s="3290"/>
      <c r="EC87" s="3290"/>
      <c r="ED87" s="3290"/>
      <c r="EE87" s="3290"/>
      <c r="EF87" s="3478">
        <f>EF86/DT86-1</f>
        <v>4.7217338048481716E-2</v>
      </c>
      <c r="EG87" s="3479">
        <f t="shared" ref="EG87:GA87" si="74">EG86/DU86-1</f>
        <v>0.10826024624725927</v>
      </c>
      <c r="EH87" s="3479">
        <f t="shared" si="74"/>
        <v>9.662455214029797E-2</v>
      </c>
      <c r="EI87" s="3479">
        <f t="shared" si="74"/>
        <v>-5.1143153031147914E-2</v>
      </c>
      <c r="EJ87" s="3479">
        <f t="shared" si="74"/>
        <v>0.14640161581800792</v>
      </c>
      <c r="EK87" s="3479">
        <f t="shared" si="74"/>
        <v>7.1981541637572422E-2</v>
      </c>
      <c r="EL87" s="3479">
        <f t="shared" si="74"/>
        <v>3.9101924447612291E-2</v>
      </c>
      <c r="EM87" s="3479">
        <f t="shared" si="74"/>
        <v>6.2053205203328243E-2</v>
      </c>
      <c r="EN87" s="3479">
        <f t="shared" si="74"/>
        <v>0.10276252838591615</v>
      </c>
      <c r="EO87" s="3479">
        <f t="shared" si="74"/>
        <v>6.6836909094565078E-2</v>
      </c>
      <c r="EP87" s="3480">
        <f t="shared" si="74"/>
        <v>4.797471990807245E-2</v>
      </c>
      <c r="EQ87" s="3479">
        <f t="shared" si="74"/>
        <v>2.0753047300962058E-2</v>
      </c>
      <c r="ER87" s="3478">
        <f t="shared" si="74"/>
        <v>-5.4709755315340836E-4</v>
      </c>
      <c r="ES87" s="3479">
        <f t="shared" si="74"/>
        <v>-1.1851541841839897E-2</v>
      </c>
      <c r="ET87" s="3479">
        <f>ET86/EH86-1</f>
        <v>-5.9909894418268772E-2</v>
      </c>
      <c r="EU87" s="3479">
        <f t="shared" si="74"/>
        <v>0.11894467299135258</v>
      </c>
      <c r="EV87" s="3479">
        <f t="shared" si="74"/>
        <v>1.3167411583612232E-3</v>
      </c>
      <c r="EW87" s="3479">
        <f t="shared" si="74"/>
        <v>1.6001132823562081E-3</v>
      </c>
      <c r="EX87" s="3479">
        <f t="shared" si="74"/>
        <v>5.5217922159878086E-2</v>
      </c>
      <c r="EY87" s="3479">
        <f t="shared" si="74"/>
        <v>5.5834482758620796E-2</v>
      </c>
      <c r="EZ87" s="3479">
        <f t="shared" si="74"/>
        <v>5.5739933623895288E-2</v>
      </c>
      <c r="FA87" s="3479">
        <f t="shared" si="74"/>
        <v>-0.20036941402642439</v>
      </c>
      <c r="FB87" s="3480">
        <f t="shared" si="74"/>
        <v>-3.1560672514619914E-2</v>
      </c>
      <c r="FC87" s="3481">
        <f t="shared" si="74"/>
        <v>-0.10218692320599587</v>
      </c>
      <c r="FD87" s="2622">
        <f t="shared" si="74"/>
        <v>9.1018913511268895E-2</v>
      </c>
      <c r="FE87" s="2622">
        <f t="shared" si="74"/>
        <v>5.6888187278607782E-2</v>
      </c>
      <c r="FF87" s="2622">
        <f t="shared" si="74"/>
        <v>-0.59381745015547827</v>
      </c>
      <c r="FG87" s="2622">
        <f t="shared" si="74"/>
        <v>-0.99289077301119844</v>
      </c>
      <c r="FH87" s="2622">
        <f t="shared" si="74"/>
        <v>-0.9879611794339902</v>
      </c>
      <c r="FI87" s="2622">
        <f t="shared" si="74"/>
        <v>-0.97976899042879562</v>
      </c>
      <c r="FJ87" s="2622">
        <f t="shared" si="74"/>
        <v>-0.95248186380301103</v>
      </c>
      <c r="FK87" s="2622">
        <f t="shared" si="74"/>
        <v>-0.92069464039992333</v>
      </c>
      <c r="FL87" s="2622">
        <f t="shared" si="74"/>
        <v>-0.8919062227777147</v>
      </c>
      <c r="FM87" s="2622">
        <f t="shared" si="74"/>
        <v>-0.78638099278744167</v>
      </c>
      <c r="FN87" s="2622">
        <f t="shared" si="74"/>
        <v>-0.78199007416073818</v>
      </c>
      <c r="FO87" s="2622">
        <f t="shared" si="74"/>
        <v>-0.71156242212808374</v>
      </c>
      <c r="FP87" s="2623">
        <f t="shared" si="74"/>
        <v>-0.75368512110726638</v>
      </c>
      <c r="FQ87" s="2623">
        <f t="shared" si="74"/>
        <v>-0.80154465472959435</v>
      </c>
      <c r="FR87" s="2623">
        <f t="shared" si="74"/>
        <v>-0.37246690083761147</v>
      </c>
      <c r="FS87" s="2623">
        <f t="shared" si="74"/>
        <v>33.912928759894456</v>
      </c>
      <c r="FT87" s="2623">
        <f t="shared" si="74"/>
        <v>22.530769230769231</v>
      </c>
      <c r="FU87" s="2623">
        <f t="shared" si="74"/>
        <v>14.83088749126485</v>
      </c>
      <c r="FV87" s="2623">
        <f t="shared" si="74"/>
        <v>7.2128590971272235</v>
      </c>
      <c r="FW87" s="2623">
        <f t="shared" si="74"/>
        <v>5.0355809356468262</v>
      </c>
      <c r="FX87" s="2623">
        <f t="shared" si="74"/>
        <v>3.4279957953749127</v>
      </c>
      <c r="FY87" s="2623">
        <f t="shared" si="74"/>
        <v>2.2853359814630916</v>
      </c>
      <c r="FZ87" s="2623">
        <f t="shared" si="74"/>
        <v>2.0494243919328312</v>
      </c>
      <c r="GA87" s="2623">
        <f t="shared" si="74"/>
        <v>1.3201943844492439</v>
      </c>
      <c r="GB87" s="2624"/>
      <c r="GC87" s="2580">
        <v>0</v>
      </c>
      <c r="GD87" s="2580">
        <v>0</v>
      </c>
      <c r="GE87" s="2580">
        <v>0</v>
      </c>
      <c r="GF87" s="2580">
        <v>0</v>
      </c>
      <c r="GG87" s="2581">
        <f>GG86/GC86-1</f>
        <v>0.29654068747807782</v>
      </c>
      <c r="GH87" s="2581">
        <f t="shared" ref="GH87:IJ87" si="75">GH86/GD86-1</f>
        <v>0.16287282518641266</v>
      </c>
      <c r="GI87" s="2581">
        <f t="shared" si="75"/>
        <v>3.8791429311237691E-2</v>
      </c>
      <c r="GJ87" s="2581">
        <f t="shared" si="75"/>
        <v>5.7017008368004385E-2</v>
      </c>
      <c r="GK87" s="2581">
        <f t="shared" si="75"/>
        <v>-0.12803713034509578</v>
      </c>
      <c r="GL87" s="2581">
        <f t="shared" si="75"/>
        <v>3.9452474462760012E-3</v>
      </c>
      <c r="GM87" s="2581">
        <f t="shared" si="75"/>
        <v>-3.4040100328717182E-3</v>
      </c>
      <c r="GN87" s="2581">
        <f t="shared" si="75"/>
        <v>4.8912464015353541E-2</v>
      </c>
      <c r="GO87" s="2581">
        <f t="shared" si="75"/>
        <v>0.12927933605452724</v>
      </c>
      <c r="GP87" s="2581">
        <f t="shared" si="75"/>
        <v>1.8424554244655278E-2</v>
      </c>
      <c r="GQ87" s="2581">
        <f t="shared" si="75"/>
        <v>-2.1033132459493009E-2</v>
      </c>
      <c r="GR87" s="2581">
        <f t="shared" si="75"/>
        <v>-3.0833608633410448E-3</v>
      </c>
      <c r="GS87" s="2581">
        <f t="shared" si="75"/>
        <v>-3.1071045288688537E-2</v>
      </c>
      <c r="GT87" s="2581">
        <f t="shared" si="75"/>
        <v>6.1050284390324672E-2</v>
      </c>
      <c r="GU87" s="2581">
        <f t="shared" si="75"/>
        <v>2.8471057884231543E-2</v>
      </c>
      <c r="GV87" s="2581">
        <f t="shared" si="75"/>
        <v>5.2689716116204544E-2</v>
      </c>
      <c r="GW87" s="2581">
        <f t="shared" si="75"/>
        <v>1.093428794215634E-2</v>
      </c>
      <c r="GX87" s="2581">
        <f t="shared" si="75"/>
        <v>7.8758127011230084E-2</v>
      </c>
      <c r="GY87" s="2581">
        <f t="shared" si="75"/>
        <v>0.10333343684014418</v>
      </c>
      <c r="GZ87" s="2581">
        <f t="shared" si="75"/>
        <v>0.17710065380579554</v>
      </c>
      <c r="HA87" s="2581">
        <f t="shared" si="75"/>
        <v>0.21253396441405914</v>
      </c>
      <c r="HB87" s="2581">
        <f t="shared" si="75"/>
        <v>0.14748497070238176</v>
      </c>
      <c r="HC87" s="2581">
        <f t="shared" si="75"/>
        <v>0.16947518768425418</v>
      </c>
      <c r="HD87" s="2581">
        <f t="shared" si="75"/>
        <v>0.19032990242129588</v>
      </c>
      <c r="HE87" s="2581">
        <f t="shared" si="75"/>
        <v>0.1353207361679365</v>
      </c>
      <c r="HF87" s="2581">
        <f t="shared" si="75"/>
        <v>6.4645767983500413E-2</v>
      </c>
      <c r="HG87" s="2581">
        <f t="shared" si="75"/>
        <v>0.11147677090979102</v>
      </c>
      <c r="HH87" s="2581">
        <f t="shared" si="75"/>
        <v>0.15604855202290491</v>
      </c>
      <c r="HI87" s="2581">
        <f t="shared" si="75"/>
        <v>8.8374995224694164E-2</v>
      </c>
      <c r="HJ87" s="2581">
        <f t="shared" si="75"/>
        <v>0.10646011249602894</v>
      </c>
      <c r="HK87" s="2581">
        <f t="shared" si="75"/>
        <v>-3.8431767374136006E-2</v>
      </c>
      <c r="HL87" s="2581">
        <f t="shared" si="75"/>
        <v>-6.9809393297620481E-2</v>
      </c>
      <c r="HM87" s="2581">
        <f t="shared" si="75"/>
        <v>-7.1645859902420783E-2</v>
      </c>
      <c r="HN87" s="2581">
        <f t="shared" si="75"/>
        <v>-0.16443168383718965</v>
      </c>
      <c r="HO87" s="2581">
        <f t="shared" si="75"/>
        <v>3.14676063790853E-3</v>
      </c>
      <c r="HP87" s="2581">
        <f t="shared" si="75"/>
        <v>-0.10970932039043002</v>
      </c>
      <c r="HQ87" s="2581">
        <f t="shared" si="75"/>
        <v>-4.7967433565860751E-2</v>
      </c>
      <c r="HR87" s="2581">
        <f t="shared" si="75"/>
        <v>9.9062133645955397E-2</v>
      </c>
      <c r="HS87" s="2581">
        <f t="shared" si="75"/>
        <v>-6.451667209122236E-2</v>
      </c>
      <c r="HT87" s="2581">
        <f t="shared" si="75"/>
        <v>3.5038841786662056E-2</v>
      </c>
      <c r="HU87" s="2581">
        <f t="shared" si="75"/>
        <v>8.372440908398926E-2</v>
      </c>
      <c r="HV87" s="2581">
        <f t="shared" si="75"/>
        <v>5.5540229885057579E-2</v>
      </c>
      <c r="HW87" s="2581">
        <f t="shared" si="75"/>
        <v>6.3471401577637199E-2</v>
      </c>
      <c r="HX87" s="2581">
        <f t="shared" si="75"/>
        <v>4.2340561595256121E-2</v>
      </c>
      <c r="HY87" s="2581">
        <f t="shared" si="75"/>
        <v>-2.5261409166422388E-2</v>
      </c>
      <c r="HZ87" s="2581">
        <f t="shared" si="75"/>
        <v>3.3980892644539296E-2</v>
      </c>
      <c r="IA87" s="2581">
        <f t="shared" si="75"/>
        <v>5.5554302088151264E-2</v>
      </c>
      <c r="IB87" s="2581">
        <f t="shared" si="75"/>
        <v>-0.10968637927861102</v>
      </c>
      <c r="IC87" s="2581">
        <f t="shared" si="75"/>
        <v>-0.15468820492255253</v>
      </c>
      <c r="ID87" s="2581">
        <f t="shared" si="75"/>
        <v>-0.98618256981734032</v>
      </c>
      <c r="IE87" s="2581">
        <f t="shared" si="75"/>
        <v>-0.92563657252785425</v>
      </c>
      <c r="IF87" s="2581">
        <f t="shared" si="75"/>
        <v>-0.75482844380963121</v>
      </c>
      <c r="IG87" s="2581">
        <f t="shared" si="75"/>
        <v>-0.71041102998406291</v>
      </c>
      <c r="IH87" s="2581">
        <f t="shared" si="75"/>
        <v>19.805284552845528</v>
      </c>
      <c r="II87" s="2581">
        <f t="shared" si="75"/>
        <v>4.9480454153492381</v>
      </c>
      <c r="IJ87" s="2581">
        <f t="shared" si="75"/>
        <v>1.7589687244480783</v>
      </c>
      <c r="IK87" s="2813"/>
      <c r="IL87" s="3482"/>
      <c r="IM87" s="3483">
        <f t="shared" ref="IM87:IZ87" si="76">IM86/IL86-1</f>
        <v>0.12838486261915083</v>
      </c>
      <c r="IN87" s="3483">
        <f t="shared" si="76"/>
        <v>-2.0432705053457179E-2</v>
      </c>
      <c r="IO87" s="3483">
        <f t="shared" si="76"/>
        <v>2.6752406006083973E-2</v>
      </c>
      <c r="IP87" s="3483">
        <f t="shared" si="76"/>
        <v>2.7744448263573362E-2</v>
      </c>
      <c r="IQ87" s="3483">
        <f t="shared" si="76"/>
        <v>9.4546737850292883E-2</v>
      </c>
      <c r="IR87" s="3483">
        <f t="shared" si="76"/>
        <v>0.17902065392214572</v>
      </c>
      <c r="IS87" s="3483">
        <f t="shared" si="76"/>
        <v>0.11774554103771639</v>
      </c>
      <c r="IT87" s="3483">
        <f t="shared" si="76"/>
        <v>1.4028150181717214E-2</v>
      </c>
      <c r="IU87" s="3483">
        <f t="shared" si="76"/>
        <v>-0.11958724997439951</v>
      </c>
      <c r="IV87" s="3483">
        <f t="shared" si="76"/>
        <v>4.0318597381242993E-2</v>
      </c>
      <c r="IW87" s="3483">
        <f t="shared" si="76"/>
        <v>6.0589863247418219E-2</v>
      </c>
      <c r="IX87" s="3483">
        <f t="shared" si="76"/>
        <v>-1.1699774149015463E-2</v>
      </c>
      <c r="IY87" s="3484">
        <f t="shared" si="76"/>
        <v>-0.72177121232046049</v>
      </c>
      <c r="IZ87" s="3484">
        <f t="shared" si="76"/>
        <v>0.47568756991235017</v>
      </c>
      <c r="JA87" s="3583"/>
      <c r="JC87" s="2566"/>
      <c r="JD87" s="2566"/>
      <c r="JE87" s="2566"/>
      <c r="JF87" s="2566"/>
      <c r="JG87" s="2566"/>
      <c r="JH87" s="2566"/>
      <c r="JI87" s="3076"/>
      <c r="JJ87" s="2566"/>
      <c r="JK87" s="2566"/>
      <c r="JL87" s="2566"/>
      <c r="JM87" s="2566"/>
      <c r="JN87" s="2566"/>
      <c r="JO87" s="2566"/>
      <c r="JP87" s="2566"/>
      <c r="JQ87" s="2566"/>
    </row>
    <row r="88" spans="1:301" ht="9.75" customHeight="1">
      <c r="A88" s="3485"/>
      <c r="B88" s="3485"/>
      <c r="C88" s="3485"/>
      <c r="D88" s="3485"/>
      <c r="E88" s="3485"/>
      <c r="F88" s="3485"/>
      <c r="G88" s="3485"/>
      <c r="H88" s="3485"/>
      <c r="I88" s="3485"/>
      <c r="J88" s="3485"/>
      <c r="K88" s="3485"/>
      <c r="L88" s="3485"/>
      <c r="M88" s="3485"/>
      <c r="N88" s="3485"/>
      <c r="O88" s="3485"/>
      <c r="P88" s="3485"/>
      <c r="Q88" s="3485"/>
      <c r="R88" s="3485"/>
      <c r="S88" s="3485"/>
      <c r="T88" s="3485"/>
      <c r="U88" s="3485"/>
      <c r="V88" s="3485"/>
      <c r="W88" s="3485"/>
      <c r="X88" s="3485"/>
      <c r="Y88" s="3485"/>
      <c r="Z88" s="3485"/>
      <c r="AA88" s="3485"/>
      <c r="AB88" s="3485"/>
      <c r="AC88" s="3485"/>
      <c r="AD88" s="3485"/>
      <c r="AE88" s="3485"/>
      <c r="AF88" s="3485"/>
      <c r="AG88" s="3485"/>
      <c r="AH88" s="3485"/>
      <c r="AI88" s="3485"/>
      <c r="AJ88" s="3485"/>
      <c r="AK88" s="3485"/>
      <c r="AL88" s="3485"/>
      <c r="AM88" s="3485"/>
      <c r="AN88" s="3485"/>
      <c r="AO88" s="3485"/>
      <c r="AP88" s="3485"/>
      <c r="AQ88" s="3485"/>
      <c r="AR88" s="3485"/>
      <c r="AS88" s="3485"/>
      <c r="AT88" s="3485"/>
      <c r="AU88" s="3485"/>
      <c r="AV88" s="3485"/>
      <c r="AW88" s="3485"/>
      <c r="AX88" s="3485"/>
      <c r="AY88" s="3485"/>
      <c r="AZ88" s="3485"/>
      <c r="BA88" s="3485"/>
      <c r="BB88" s="3485"/>
      <c r="BC88" s="3485"/>
      <c r="BD88" s="3485"/>
      <c r="BE88" s="3485"/>
      <c r="BF88" s="3485"/>
      <c r="BG88" s="3485"/>
      <c r="BH88" s="3485"/>
      <c r="BI88" s="3485"/>
      <c r="BJ88" s="3485"/>
      <c r="BK88" s="3485"/>
      <c r="BL88" s="3485"/>
      <c r="BM88" s="3485"/>
      <c r="BN88" s="3485"/>
      <c r="BO88" s="3485"/>
      <c r="BP88" s="3485"/>
      <c r="BQ88" s="3485"/>
      <c r="BR88" s="3485"/>
      <c r="BS88" s="3485"/>
      <c r="BT88" s="3485"/>
      <c r="BU88" s="3485"/>
      <c r="BV88" s="3485"/>
      <c r="BW88" s="3485"/>
      <c r="BX88" s="3485"/>
      <c r="BY88" s="3485"/>
      <c r="BZ88" s="3485"/>
      <c r="CA88" s="3485"/>
      <c r="CB88" s="3485"/>
      <c r="CC88" s="3485"/>
      <c r="CD88" s="3485"/>
      <c r="CE88" s="3485"/>
      <c r="CF88" s="3485"/>
      <c r="CG88" s="3485"/>
      <c r="CH88" s="3485"/>
      <c r="CI88" s="3485"/>
      <c r="CJ88" s="3485"/>
      <c r="CK88" s="3485"/>
      <c r="CL88" s="3485"/>
      <c r="CM88" s="3485"/>
      <c r="CN88" s="3485"/>
      <c r="CO88" s="3485"/>
      <c r="CP88" s="3485"/>
      <c r="CQ88" s="3485"/>
      <c r="CR88" s="3485"/>
      <c r="CS88" s="3485"/>
      <c r="CT88" s="3485"/>
      <c r="CU88" s="3485"/>
      <c r="CV88" s="3485"/>
      <c r="CW88" s="3485"/>
      <c r="CX88" s="3485"/>
      <c r="CY88" s="3485"/>
      <c r="CZ88" s="3485"/>
      <c r="DA88" s="3485"/>
      <c r="DB88" s="3485"/>
      <c r="DC88" s="3485"/>
      <c r="DD88" s="3485"/>
      <c r="DE88" s="3485"/>
      <c r="DF88" s="3485"/>
      <c r="DG88" s="3485"/>
      <c r="DH88" s="3486"/>
      <c r="DI88" s="3486"/>
      <c r="DJ88" s="3486"/>
      <c r="DK88" s="3486"/>
      <c r="DL88" s="3486"/>
      <c r="DM88" s="3486"/>
      <c r="DN88" s="3486"/>
      <c r="DO88" s="3486"/>
      <c r="DP88" s="3486"/>
      <c r="DQ88" s="3486"/>
      <c r="DR88" s="3486"/>
      <c r="DS88" s="3486"/>
      <c r="DT88" s="3486"/>
      <c r="DU88" s="3486"/>
      <c r="DV88" s="3486"/>
      <c r="DW88" s="3486"/>
      <c r="DX88" s="3486"/>
      <c r="DY88" s="3486"/>
      <c r="DZ88" s="3486"/>
      <c r="EA88" s="3486"/>
      <c r="EB88" s="3486"/>
      <c r="EC88" s="3486"/>
      <c r="ED88" s="3486"/>
      <c r="EE88" s="3486"/>
      <c r="EF88" s="3487"/>
      <c r="EG88" s="3488"/>
      <c r="EH88" s="3488"/>
      <c r="EI88" s="3488"/>
      <c r="EJ88" s="3488"/>
      <c r="EK88" s="3488"/>
      <c r="EL88" s="3488"/>
      <c r="EM88" s="3488"/>
      <c r="EN88" s="3488"/>
      <c r="EO88" s="3488"/>
      <c r="EP88" s="3488"/>
      <c r="EQ88" s="3488"/>
      <c r="ER88" s="3487"/>
      <c r="ES88" s="3488"/>
      <c r="ET88" s="3488"/>
      <c r="EU88" s="3488"/>
      <c r="EV88" s="3488"/>
      <c r="EW88" s="3488"/>
      <c r="EX88" s="3488"/>
      <c r="EY88" s="3488"/>
      <c r="EZ88" s="3488"/>
      <c r="FA88" s="3488"/>
      <c r="FB88" s="3488"/>
      <c r="FC88" s="3489"/>
      <c r="FD88" s="2582"/>
      <c r="FE88" s="2582"/>
      <c r="FF88" s="2582"/>
      <c r="FG88" s="2582"/>
      <c r="FH88" s="2582"/>
      <c r="FI88" s="2582"/>
      <c r="FJ88" s="2582"/>
      <c r="FK88" s="2582"/>
      <c r="FL88" s="2582"/>
      <c r="FM88" s="2582"/>
      <c r="FN88" s="2582"/>
      <c r="FO88" s="2582"/>
      <c r="FP88" s="2583"/>
      <c r="FQ88" s="2583"/>
      <c r="FR88" s="2583"/>
      <c r="FS88" s="2583"/>
      <c r="FT88" s="2583"/>
      <c r="FU88" s="2583"/>
      <c r="FV88" s="2583"/>
      <c r="FW88" s="2583"/>
      <c r="FX88" s="2583"/>
      <c r="FY88" s="2583"/>
      <c r="FZ88" s="2583"/>
      <c r="GA88" s="2583"/>
      <c r="GB88" s="2584"/>
      <c r="GC88" s="2584"/>
      <c r="GD88" s="2584"/>
      <c r="GE88" s="2584"/>
      <c r="GF88" s="2584"/>
      <c r="GG88" s="2584"/>
      <c r="GH88" s="2584"/>
      <c r="GI88" s="2584"/>
      <c r="GJ88" s="2584"/>
      <c r="GK88" s="2584"/>
      <c r="GL88" s="2584"/>
      <c r="GM88" s="2584"/>
      <c r="GN88" s="2584"/>
      <c r="GO88" s="2584"/>
      <c r="GP88" s="2584"/>
      <c r="GQ88" s="2584"/>
      <c r="GR88" s="2584"/>
      <c r="GS88" s="2584"/>
      <c r="GT88" s="2584"/>
      <c r="GU88" s="2584"/>
      <c r="GV88" s="2584"/>
      <c r="GW88" s="2584"/>
      <c r="GX88" s="2584"/>
      <c r="GY88" s="2584"/>
      <c r="GZ88" s="2584"/>
      <c r="HA88" s="2584"/>
      <c r="HB88" s="2584"/>
      <c r="HC88" s="2584"/>
      <c r="HD88" s="2584"/>
      <c r="HE88" s="2584"/>
      <c r="HF88" s="2584"/>
      <c r="HG88" s="2584"/>
      <c r="HH88" s="2584"/>
      <c r="HI88" s="2584"/>
      <c r="HJ88" s="2584"/>
      <c r="HK88" s="2584"/>
      <c r="HL88" s="2584"/>
      <c r="HM88" s="2584"/>
      <c r="HN88" s="2584"/>
      <c r="HO88" s="2584"/>
      <c r="HP88" s="2584"/>
      <c r="HQ88" s="2584"/>
      <c r="HR88" s="2584"/>
      <c r="HS88" s="2584"/>
      <c r="HT88" s="2584"/>
      <c r="HU88" s="2584"/>
      <c r="HV88" s="2584"/>
      <c r="HW88" s="2584"/>
      <c r="HX88" s="2584"/>
      <c r="HY88" s="2584"/>
      <c r="HZ88" s="2584"/>
      <c r="IA88" s="2584"/>
      <c r="IB88" s="2584"/>
      <c r="IC88" s="2584"/>
      <c r="ID88" s="2584"/>
      <c r="IE88" s="2584"/>
      <c r="IF88" s="2584"/>
      <c r="IG88" s="2584"/>
      <c r="IH88" s="2584"/>
      <c r="II88" s="2584"/>
      <c r="IJ88" s="2584"/>
      <c r="IK88" s="2584"/>
      <c r="IL88" s="3490"/>
      <c r="IM88" s="3490"/>
      <c r="IN88" s="3490"/>
      <c r="IO88" s="3490"/>
      <c r="IP88" s="3490"/>
      <c r="IQ88" s="3490"/>
      <c r="IR88" s="3490"/>
      <c r="IS88" s="3490"/>
      <c r="IT88" s="3490"/>
      <c r="IU88" s="3491"/>
      <c r="IV88" s="3491"/>
      <c r="IW88" s="3491"/>
      <c r="IX88" s="3491"/>
      <c r="IY88" s="3492"/>
      <c r="IZ88" s="3493"/>
      <c r="JA88" s="3583"/>
      <c r="JC88" s="2566"/>
      <c r="JD88" s="2566"/>
      <c r="JE88" s="2566"/>
      <c r="JF88" s="2566"/>
      <c r="JG88" s="2566"/>
      <c r="JH88" s="2566"/>
      <c r="JI88" s="3076"/>
      <c r="JJ88" s="2566"/>
      <c r="JK88" s="2566"/>
      <c r="JL88" s="2566"/>
      <c r="JM88" s="2566"/>
      <c r="JN88" s="2566"/>
      <c r="JO88" s="2566"/>
      <c r="JP88" s="2566"/>
      <c r="JQ88" s="2566"/>
    </row>
    <row r="89" spans="1:301" s="3503" customFormat="1" ht="29.4" thickBot="1">
      <c r="A89" s="3494"/>
      <c r="B89" s="3494"/>
      <c r="C89" s="3495" t="s">
        <v>1092</v>
      </c>
      <c r="D89" s="3496"/>
      <c r="E89" s="3496"/>
      <c r="F89" s="3496"/>
      <c r="G89" s="3496"/>
      <c r="H89" s="3496"/>
      <c r="I89" s="3496"/>
      <c r="J89" s="3496"/>
      <c r="K89" s="3496"/>
      <c r="L89" s="3496"/>
      <c r="M89" s="3496"/>
      <c r="N89" s="3496"/>
      <c r="O89" s="3496"/>
      <c r="P89" s="3496"/>
      <c r="Q89" s="3496"/>
      <c r="R89" s="3496"/>
      <c r="S89" s="3496"/>
      <c r="T89" s="3496"/>
      <c r="U89" s="3496"/>
      <c r="V89" s="3496"/>
      <c r="W89" s="3496"/>
      <c r="X89" s="3496"/>
      <c r="Y89" s="3496"/>
      <c r="Z89" s="3496"/>
      <c r="AA89" s="3496"/>
      <c r="AB89" s="3496"/>
      <c r="AC89" s="3496"/>
      <c r="AD89" s="3496"/>
      <c r="AE89" s="3496"/>
      <c r="AF89" s="3496"/>
      <c r="AG89" s="3496"/>
      <c r="AH89" s="3496"/>
      <c r="AI89" s="3496"/>
      <c r="AJ89" s="3496"/>
      <c r="AK89" s="3496"/>
      <c r="AL89" s="3496"/>
      <c r="AM89" s="3496"/>
      <c r="AN89" s="3496"/>
      <c r="AO89" s="3496"/>
      <c r="AP89" s="3496"/>
      <c r="AQ89" s="3496"/>
      <c r="AR89" s="3496"/>
      <c r="AS89" s="3496"/>
      <c r="AT89" s="3496"/>
      <c r="AU89" s="3496"/>
      <c r="AV89" s="3496"/>
      <c r="AW89" s="3496"/>
      <c r="AX89" s="3496"/>
      <c r="AY89" s="3496"/>
      <c r="AZ89" s="3496"/>
      <c r="BA89" s="3496"/>
      <c r="BB89" s="3496"/>
      <c r="BC89" s="3496"/>
      <c r="BD89" s="3496"/>
      <c r="BE89" s="3496"/>
      <c r="BF89" s="3496"/>
      <c r="BG89" s="3496"/>
      <c r="BH89" s="3496"/>
      <c r="BI89" s="3496"/>
      <c r="BJ89" s="3496"/>
      <c r="BK89" s="3496"/>
      <c r="BL89" s="3496"/>
      <c r="BM89" s="3496"/>
      <c r="BN89" s="3496"/>
      <c r="BO89" s="3496"/>
      <c r="BP89" s="3496"/>
      <c r="BQ89" s="3496"/>
      <c r="BR89" s="3496"/>
      <c r="BS89" s="3496"/>
      <c r="BT89" s="3496"/>
      <c r="BU89" s="3496"/>
      <c r="BV89" s="3496"/>
      <c r="BW89" s="3496"/>
      <c r="BX89" s="3496"/>
      <c r="BY89" s="3496"/>
      <c r="BZ89" s="3496"/>
      <c r="CA89" s="3496"/>
      <c r="CB89" s="3496"/>
      <c r="CC89" s="3496"/>
      <c r="CD89" s="3496"/>
      <c r="CE89" s="3496"/>
      <c r="CF89" s="3496"/>
      <c r="CG89" s="3496"/>
      <c r="CH89" s="3496"/>
      <c r="CI89" s="3496"/>
      <c r="CJ89" s="3496"/>
      <c r="CK89" s="3496"/>
      <c r="CL89" s="3496"/>
      <c r="CM89" s="3496"/>
      <c r="CN89" s="3496"/>
      <c r="CO89" s="3496"/>
      <c r="CP89" s="3496"/>
      <c r="CQ89" s="3496"/>
      <c r="CR89" s="3496"/>
      <c r="CS89" s="3496"/>
      <c r="CT89" s="3496"/>
      <c r="CU89" s="3496"/>
      <c r="CV89" s="3496"/>
      <c r="CW89" s="3496"/>
      <c r="CX89" s="3496"/>
      <c r="CY89" s="3496"/>
      <c r="CZ89" s="3496"/>
      <c r="DA89" s="3496"/>
      <c r="DB89" s="3496"/>
      <c r="DC89" s="3496"/>
      <c r="DD89" s="3496"/>
      <c r="DE89" s="3496"/>
      <c r="DF89" s="3496"/>
      <c r="DG89" s="3496"/>
      <c r="DH89" s="3497"/>
      <c r="DI89" s="3497"/>
      <c r="DJ89" s="3497"/>
      <c r="DK89" s="3497"/>
      <c r="DL89" s="3497"/>
      <c r="DM89" s="3497"/>
      <c r="DN89" s="3497"/>
      <c r="DO89" s="3497"/>
      <c r="DP89" s="3498" t="s">
        <v>1106</v>
      </c>
      <c r="DQ89" s="3497"/>
      <c r="DR89" s="3497"/>
      <c r="DS89" s="3497"/>
      <c r="DT89" s="3497"/>
      <c r="DU89" s="3497"/>
      <c r="DV89" s="3497"/>
      <c r="DW89" s="3497"/>
      <c r="DX89" s="3497"/>
      <c r="DY89" s="3497"/>
      <c r="DZ89" s="3497"/>
      <c r="EA89" s="3497"/>
      <c r="EB89" s="3497"/>
      <c r="EC89" s="3497"/>
      <c r="ED89" s="3497"/>
      <c r="EE89" s="3497"/>
      <c r="EF89" s="3499"/>
      <c r="EG89" s="3497"/>
      <c r="EH89" s="3497"/>
      <c r="EI89" s="3497"/>
      <c r="EJ89" s="3497"/>
      <c r="EK89" s="3497"/>
      <c r="EL89" s="3497"/>
      <c r="EM89" s="3497"/>
      <c r="EN89" s="3497"/>
      <c r="EO89" s="3497"/>
      <c r="EP89" s="3497"/>
      <c r="EQ89" s="3497"/>
      <c r="ER89" s="3499">
        <f>ER86-'Llegadas '!N4</f>
        <v>0</v>
      </c>
      <c r="ES89" s="3497">
        <f>ES86-'Llegadas '!N5</f>
        <v>0</v>
      </c>
      <c r="ET89" s="3497">
        <f>ET86-'Llegadas '!N6</f>
        <v>0</v>
      </c>
      <c r="EU89" s="3497">
        <f>EU86-'Llegadas '!N7</f>
        <v>0</v>
      </c>
      <c r="EV89" s="3497">
        <f>EV86-'Llegadas '!N8</f>
        <v>0</v>
      </c>
      <c r="EW89" s="3497">
        <f>EW86-'Llegadas '!N9</f>
        <v>0</v>
      </c>
      <c r="EX89" s="3497">
        <f>EX86-'Llegadas '!N10</f>
        <v>0</v>
      </c>
      <c r="EY89" s="3497">
        <f>EY86-'Llegadas '!N11</f>
        <v>0</v>
      </c>
      <c r="EZ89" s="3497">
        <f>EZ86-'Llegadas '!N12</f>
        <v>0</v>
      </c>
      <c r="FA89" s="3497">
        <f>FA86-'Llegadas '!N13</f>
        <v>0</v>
      </c>
      <c r="FB89" s="3497">
        <f>FB86-'Llegadas '!N14</f>
        <v>0</v>
      </c>
      <c r="FC89" s="3500">
        <f>FC86-'Llegadas '!N15</f>
        <v>0</v>
      </c>
      <c r="FD89" s="3501">
        <f>FD86-'Llegadas '!O4</f>
        <v>0</v>
      </c>
      <c r="FE89" s="3501">
        <f>FE86-'Llegadas '!O5</f>
        <v>0</v>
      </c>
      <c r="FF89" s="3501">
        <f>FF86-'Llegadas '!O6</f>
        <v>0</v>
      </c>
      <c r="FG89" s="3501">
        <f>FG86-'Llegadas '!O7</f>
        <v>0</v>
      </c>
      <c r="FH89" s="3501">
        <f>FH86-'Llegadas '!O8</f>
        <v>0</v>
      </c>
      <c r="FI89" s="3501">
        <f>FI86-'Llegadas '!O9</f>
        <v>0</v>
      </c>
      <c r="FJ89" s="3501">
        <f>FJ86-'Llegadas '!O10</f>
        <v>0</v>
      </c>
      <c r="FK89" s="3501">
        <f>FK86-'Llegadas '!O11</f>
        <v>0</v>
      </c>
      <c r="FL89" s="3501">
        <f>FL86-'Llegadas '!O12</f>
        <v>0</v>
      </c>
      <c r="FM89" s="3501">
        <f>FM86-'Llegadas '!O13</f>
        <v>0</v>
      </c>
      <c r="FN89" s="3501">
        <f>FN86-'Llegadas '!O14</f>
        <v>0</v>
      </c>
      <c r="FO89" s="3501">
        <f>FO86-'Llegadas '!O15</f>
        <v>0</v>
      </c>
      <c r="FP89" s="3502">
        <f>FP86-'Llegadas '!P4</f>
        <v>0</v>
      </c>
      <c r="FQ89" s="3502">
        <f>FQ86-'Llegadas '!P5</f>
        <v>0</v>
      </c>
      <c r="FR89" s="3502">
        <f>FR86-'Llegadas '!P6</f>
        <v>0</v>
      </c>
      <c r="FS89" s="3502">
        <f>FS86-'Llegadas '!P7</f>
        <v>0</v>
      </c>
      <c r="FT89" s="3502">
        <f>FT86-'Llegadas '!P8</f>
        <v>0</v>
      </c>
      <c r="FU89" s="3502">
        <f>FU86-'Llegadas '!P9</f>
        <v>0</v>
      </c>
      <c r="FV89" s="3502">
        <f>FV86-'Llegadas '!P10</f>
        <v>0</v>
      </c>
      <c r="FW89" s="3502">
        <f>FW86-'Llegadas '!P11</f>
        <v>0</v>
      </c>
      <c r="FX89" s="3502">
        <f>FX86-'Llegadas '!P12</f>
        <v>0</v>
      </c>
      <c r="FY89" s="3502">
        <f>FY86-'Llegadas '!P13</f>
        <v>0</v>
      </c>
      <c r="FZ89" s="3502">
        <f>FZ86-'Llegadas '!P14</f>
        <v>0</v>
      </c>
      <c r="GA89" s="3502">
        <f>GA86-'Llegadas '!P15</f>
        <v>0</v>
      </c>
      <c r="GC89" s="3504"/>
      <c r="GD89" s="3496"/>
      <c r="GE89" s="3496"/>
      <c r="GF89" s="3496"/>
      <c r="GG89" s="3496"/>
      <c r="GH89" s="3496"/>
      <c r="GI89" s="3496"/>
      <c r="GJ89" s="3496"/>
      <c r="GK89" s="3496"/>
      <c r="GL89" s="3496"/>
      <c r="GM89" s="3496"/>
      <c r="GN89" s="3496"/>
      <c r="GO89" s="3496"/>
      <c r="GP89" s="3496"/>
      <c r="GQ89" s="3496"/>
      <c r="GR89" s="3496"/>
      <c r="GS89" s="3496"/>
      <c r="GT89" s="3496"/>
      <c r="GU89" s="3496"/>
      <c r="GV89" s="3496"/>
      <c r="GW89" s="3496"/>
      <c r="GX89" s="3504"/>
      <c r="GY89" s="3504"/>
      <c r="GZ89" s="3504"/>
      <c r="HA89" s="3504"/>
      <c r="HB89" s="3504"/>
      <c r="HC89" s="3504"/>
      <c r="HD89" s="3504"/>
      <c r="HE89" s="3504"/>
      <c r="HF89" s="3504"/>
      <c r="HG89" s="3504"/>
      <c r="HH89" s="3504"/>
      <c r="HI89" s="3504"/>
      <c r="HJ89" s="3504"/>
      <c r="HK89" s="3504"/>
      <c r="HL89" s="3504"/>
      <c r="HM89" s="3505"/>
      <c r="HN89" s="3505"/>
      <c r="HO89" s="3505"/>
      <c r="HP89" s="3505"/>
      <c r="HQ89" s="3505"/>
      <c r="HR89" s="3505"/>
      <c r="HS89" s="3505"/>
      <c r="HT89" s="3504"/>
      <c r="HU89" s="3504"/>
      <c r="HV89" s="3504"/>
      <c r="HW89" s="3504"/>
      <c r="HX89" s="3504"/>
      <c r="HY89" s="3504"/>
      <c r="HZ89" s="3504"/>
      <c r="IA89" s="3504"/>
      <c r="IB89" s="3504"/>
      <c r="ID89" s="3504"/>
      <c r="IE89" s="3504"/>
      <c r="IF89" s="3504"/>
      <c r="IG89" s="3504"/>
      <c r="IH89" s="3504"/>
      <c r="II89" s="3504"/>
      <c r="IJ89" s="3504"/>
      <c r="IK89" s="3496"/>
      <c r="IL89" s="3496">
        <f>SUM(IL53:IL85)</f>
        <v>417853</v>
      </c>
      <c r="IM89" s="3496">
        <f>SUM(IM53:IM85)</f>
        <v>471499</v>
      </c>
      <c r="IN89" s="3496">
        <f>SUM(IN53:IN85)</f>
        <v>469070.5</v>
      </c>
      <c r="IO89" s="3496">
        <f t="shared" ref="IO89:IX89" si="77">SUM(IO53:IO85)</f>
        <v>474221</v>
      </c>
      <c r="IP89" s="3496">
        <f t="shared" si="77"/>
        <v>487378</v>
      </c>
      <c r="IQ89" s="3496">
        <f t="shared" si="77"/>
        <v>533458</v>
      </c>
      <c r="IR89" s="3496">
        <f t="shared" si="77"/>
        <v>628958</v>
      </c>
      <c r="IS89" s="3496">
        <f t="shared" si="77"/>
        <v>703015</v>
      </c>
      <c r="IT89" s="3496">
        <f t="shared" si="77"/>
        <v>712877</v>
      </c>
      <c r="IU89" s="3496">
        <f t="shared" si="77"/>
        <v>627626</v>
      </c>
      <c r="IV89" s="3496">
        <f t="shared" si="77"/>
        <v>652931</v>
      </c>
      <c r="IW89" s="3496">
        <f>SUM(IW53:IW85)</f>
        <v>692492</v>
      </c>
      <c r="IX89" s="3496">
        <f t="shared" si="77"/>
        <v>684390</v>
      </c>
      <c r="IY89" s="3506">
        <f>'Llegadas '!O16-SUM(IY53:IY85)</f>
        <v>0</v>
      </c>
      <c r="IZ89" s="3506">
        <f>'Llegadas '!P16-SUM(IZ53:IZ85)</f>
        <v>0</v>
      </c>
      <c r="JA89" s="3584"/>
      <c r="JC89" s="3507"/>
      <c r="JD89" s="3507"/>
      <c r="JE89" s="3507"/>
      <c r="JF89" s="3507"/>
      <c r="JG89" s="3507"/>
      <c r="JI89" s="3507"/>
      <c r="JJ89" s="3507"/>
      <c r="JK89" s="3507"/>
      <c r="JL89" s="3507"/>
      <c r="JM89" s="3507"/>
      <c r="JN89" s="3507"/>
      <c r="JO89" s="3507"/>
      <c r="JP89" s="3507"/>
      <c r="JQ89" s="3507"/>
    </row>
    <row r="90" spans="1:301" ht="15" thickBot="1">
      <c r="A90" s="3372"/>
      <c r="B90" s="3328"/>
      <c r="C90" s="3508" t="s">
        <v>1482</v>
      </c>
      <c r="D90" s="3509">
        <f t="shared" ref="D90:BO90" si="78">D53+D54+D55+D56+D57+D58+D59+D60+D61+D62+D63+D65+D66+D67+D68++D72+D77+D80</f>
        <v>24856</v>
      </c>
      <c r="E90" s="3510">
        <f t="shared" si="78"/>
        <v>25198</v>
      </c>
      <c r="F90" s="3510">
        <f t="shared" si="78"/>
        <v>28215</v>
      </c>
      <c r="G90" s="3510">
        <f t="shared" si="78"/>
        <v>23263</v>
      </c>
      <c r="H90" s="3510">
        <f t="shared" si="78"/>
        <v>25127</v>
      </c>
      <c r="I90" s="3510">
        <f t="shared" si="78"/>
        <v>36816</v>
      </c>
      <c r="J90" s="3510">
        <f t="shared" si="78"/>
        <v>43843</v>
      </c>
      <c r="K90" s="3510">
        <f t="shared" si="78"/>
        <v>36114</v>
      </c>
      <c r="L90" s="3510">
        <f t="shared" si="78"/>
        <v>26217</v>
      </c>
      <c r="M90" s="3510">
        <f t="shared" si="78"/>
        <v>27834</v>
      </c>
      <c r="N90" s="3510">
        <f t="shared" si="78"/>
        <v>30221</v>
      </c>
      <c r="O90" s="3511">
        <f t="shared" si="78"/>
        <v>31560</v>
      </c>
      <c r="P90" s="3512">
        <f t="shared" si="78"/>
        <v>29735</v>
      </c>
      <c r="Q90" s="3513">
        <f t="shared" si="78"/>
        <v>39149</v>
      </c>
      <c r="R90" s="3513">
        <f t="shared" si="78"/>
        <v>30965</v>
      </c>
      <c r="S90" s="3513">
        <f t="shared" si="78"/>
        <v>26018</v>
      </c>
      <c r="T90" s="3513">
        <f t="shared" si="78"/>
        <v>30294</v>
      </c>
      <c r="U90" s="3513">
        <f t="shared" si="78"/>
        <v>39810</v>
      </c>
      <c r="V90" s="3513">
        <f t="shared" si="78"/>
        <v>42775</v>
      </c>
      <c r="W90" s="3513">
        <f t="shared" si="78"/>
        <v>35670</v>
      </c>
      <c r="X90" s="3513">
        <f t="shared" si="78"/>
        <v>27547</v>
      </c>
      <c r="Y90" s="3513">
        <f t="shared" si="78"/>
        <v>29270</v>
      </c>
      <c r="Z90" s="3513">
        <f t="shared" si="78"/>
        <v>30405</v>
      </c>
      <c r="AA90" s="3514">
        <f t="shared" si="78"/>
        <v>29711</v>
      </c>
      <c r="AB90" s="3515">
        <f t="shared" si="78"/>
        <v>29094</v>
      </c>
      <c r="AC90" s="3516">
        <f t="shared" si="78"/>
        <v>26615</v>
      </c>
      <c r="AD90" s="3516">
        <f t="shared" si="78"/>
        <v>27529</v>
      </c>
      <c r="AE90" s="3516">
        <f t="shared" si="78"/>
        <v>25903</v>
      </c>
      <c r="AF90" s="3516">
        <f t="shared" si="78"/>
        <v>32552</v>
      </c>
      <c r="AG90" s="3516">
        <f t="shared" si="78"/>
        <v>39201</v>
      </c>
      <c r="AH90" s="3516">
        <f t="shared" si="78"/>
        <v>40713</v>
      </c>
      <c r="AI90" s="3516">
        <f t="shared" si="78"/>
        <v>35174</v>
      </c>
      <c r="AJ90" s="3516">
        <f t="shared" si="78"/>
        <v>25935</v>
      </c>
      <c r="AK90" s="3516">
        <f t="shared" si="78"/>
        <v>27629</v>
      </c>
      <c r="AL90" s="3516">
        <f t="shared" si="78"/>
        <v>29808</v>
      </c>
      <c r="AM90" s="3516">
        <f t="shared" si="78"/>
        <v>34641</v>
      </c>
      <c r="AN90" s="3517">
        <f t="shared" si="78"/>
        <v>30378</v>
      </c>
      <c r="AO90" s="3517">
        <f t="shared" si="78"/>
        <v>30814</v>
      </c>
      <c r="AP90" s="3517">
        <f t="shared" si="78"/>
        <v>30361</v>
      </c>
      <c r="AQ90" s="3517">
        <f t="shared" si="78"/>
        <v>25110</v>
      </c>
      <c r="AR90" s="3517">
        <f t="shared" si="78"/>
        <v>30963</v>
      </c>
      <c r="AS90" s="3517">
        <f t="shared" si="78"/>
        <v>39150</v>
      </c>
      <c r="AT90" s="3517">
        <f t="shared" si="78"/>
        <v>41484</v>
      </c>
      <c r="AU90" s="3517">
        <f t="shared" si="78"/>
        <v>34369</v>
      </c>
      <c r="AV90" s="3517">
        <f t="shared" si="78"/>
        <v>26340</v>
      </c>
      <c r="AW90" s="3517">
        <f t="shared" si="78"/>
        <v>29814</v>
      </c>
      <c r="AX90" s="3517">
        <f t="shared" si="78"/>
        <v>30034</v>
      </c>
      <c r="AY90" s="3518">
        <f t="shared" si="78"/>
        <v>33688</v>
      </c>
      <c r="AZ90" s="3519">
        <f t="shared" si="78"/>
        <v>30742</v>
      </c>
      <c r="BA90" s="3520">
        <f t="shared" si="78"/>
        <v>29186</v>
      </c>
      <c r="BB90" s="3520">
        <f t="shared" si="78"/>
        <v>31956</v>
      </c>
      <c r="BC90" s="3520">
        <f t="shared" si="78"/>
        <v>28808</v>
      </c>
      <c r="BD90" s="3520">
        <f t="shared" si="78"/>
        <v>31551</v>
      </c>
      <c r="BE90" s="3520">
        <f t="shared" si="78"/>
        <v>41006</v>
      </c>
      <c r="BF90" s="3520">
        <f t="shared" si="78"/>
        <v>43187</v>
      </c>
      <c r="BG90" s="3520">
        <f t="shared" si="78"/>
        <v>34724</v>
      </c>
      <c r="BH90" s="3520">
        <f t="shared" si="78"/>
        <v>26925</v>
      </c>
      <c r="BI90" s="3520">
        <f t="shared" si="78"/>
        <v>30049</v>
      </c>
      <c r="BJ90" s="3520">
        <f t="shared" si="78"/>
        <v>32318</v>
      </c>
      <c r="BK90" s="3521">
        <f t="shared" si="78"/>
        <v>35734</v>
      </c>
      <c r="BL90" s="3522">
        <f t="shared" si="78"/>
        <v>31227</v>
      </c>
      <c r="BM90" s="3523">
        <f t="shared" si="78"/>
        <v>29152</v>
      </c>
      <c r="BN90" s="3523">
        <f t="shared" si="78"/>
        <v>34035</v>
      </c>
      <c r="BO90" s="3523">
        <f t="shared" si="78"/>
        <v>29816</v>
      </c>
      <c r="BP90" s="3523">
        <f t="shared" ref="BP90:EA90" si="79">BP53+BP54+BP55+BP56+BP57+BP58+BP59+BP60+BP61+BP62+BP63+BP65+BP66+BP67+BP68++BP72+BP77+BP80</f>
        <v>33889</v>
      </c>
      <c r="BQ90" s="3523">
        <f t="shared" si="79"/>
        <v>45701</v>
      </c>
      <c r="BR90" s="3523">
        <f t="shared" si="79"/>
        <v>46628</v>
      </c>
      <c r="BS90" s="3523">
        <f t="shared" si="79"/>
        <v>37508</v>
      </c>
      <c r="BT90" s="3524">
        <f t="shared" si="79"/>
        <v>31325</v>
      </c>
      <c r="BU90" s="3524">
        <f t="shared" si="79"/>
        <v>35537</v>
      </c>
      <c r="BV90" s="3524">
        <f t="shared" si="79"/>
        <v>34860</v>
      </c>
      <c r="BW90" s="3525">
        <f t="shared" si="79"/>
        <v>42669</v>
      </c>
      <c r="BX90" s="3526">
        <f t="shared" si="79"/>
        <v>36506</v>
      </c>
      <c r="BY90" s="3527">
        <f t="shared" si="79"/>
        <v>33204</v>
      </c>
      <c r="BZ90" s="3527">
        <f t="shared" si="79"/>
        <v>37435</v>
      </c>
      <c r="CA90" s="3527">
        <f t="shared" si="79"/>
        <v>30708</v>
      </c>
      <c r="CB90" s="3527">
        <f t="shared" si="79"/>
        <v>36767</v>
      </c>
      <c r="CC90" s="3527">
        <f t="shared" si="79"/>
        <v>47823</v>
      </c>
      <c r="CD90" s="3527">
        <f t="shared" si="79"/>
        <v>48484</v>
      </c>
      <c r="CE90" s="3527">
        <f t="shared" si="79"/>
        <v>38026</v>
      </c>
      <c r="CF90" s="3527">
        <f t="shared" si="79"/>
        <v>34372</v>
      </c>
      <c r="CG90" s="3527">
        <f t="shared" si="79"/>
        <v>34186</v>
      </c>
      <c r="CH90" s="3527">
        <f t="shared" si="79"/>
        <v>36293</v>
      </c>
      <c r="CI90" s="3528">
        <f t="shared" si="79"/>
        <v>46527</v>
      </c>
      <c r="CJ90" s="3529">
        <f t="shared" si="79"/>
        <v>41103</v>
      </c>
      <c r="CK90" s="3530">
        <f t="shared" si="79"/>
        <v>40967</v>
      </c>
      <c r="CL90" s="3530">
        <f t="shared" si="79"/>
        <v>39182</v>
      </c>
      <c r="CM90" s="3530">
        <f t="shared" si="79"/>
        <v>36250</v>
      </c>
      <c r="CN90" s="3530">
        <f t="shared" si="79"/>
        <v>39140</v>
      </c>
      <c r="CO90" s="3530">
        <f t="shared" si="79"/>
        <v>44754</v>
      </c>
      <c r="CP90" s="3530">
        <f t="shared" si="79"/>
        <v>53744</v>
      </c>
      <c r="CQ90" s="3530">
        <f t="shared" si="79"/>
        <v>39984</v>
      </c>
      <c r="CR90" s="3530">
        <f t="shared" si="79"/>
        <v>35786</v>
      </c>
      <c r="CS90" s="3530">
        <f t="shared" si="79"/>
        <v>38999</v>
      </c>
      <c r="CT90" s="3530">
        <f t="shared" si="79"/>
        <v>40588</v>
      </c>
      <c r="CU90" s="3531">
        <f t="shared" si="79"/>
        <v>54128</v>
      </c>
      <c r="CV90" s="3532">
        <f t="shared" si="79"/>
        <v>44808</v>
      </c>
      <c r="CW90" s="3533">
        <f t="shared" si="79"/>
        <v>40507</v>
      </c>
      <c r="CX90" s="3534">
        <f t="shared" si="79"/>
        <v>43095</v>
      </c>
      <c r="CY90" s="3534">
        <f t="shared" si="79"/>
        <v>35710</v>
      </c>
      <c r="CZ90" s="3534">
        <f t="shared" si="79"/>
        <v>39850</v>
      </c>
      <c r="DA90" s="3534">
        <f t="shared" si="79"/>
        <v>51411</v>
      </c>
      <c r="DB90" s="3534">
        <f t="shared" si="79"/>
        <v>57118</v>
      </c>
      <c r="DC90" s="3534">
        <f t="shared" si="79"/>
        <v>39877</v>
      </c>
      <c r="DD90" s="3535">
        <f t="shared" si="79"/>
        <v>34563</v>
      </c>
      <c r="DE90" s="3535">
        <f t="shared" si="79"/>
        <v>38736</v>
      </c>
      <c r="DF90" s="3536">
        <f t="shared" si="79"/>
        <v>39053</v>
      </c>
      <c r="DG90" s="3536">
        <f t="shared" si="79"/>
        <v>52398</v>
      </c>
      <c r="DH90" s="3537">
        <f t="shared" si="79"/>
        <v>41488</v>
      </c>
      <c r="DI90" s="3538">
        <f t="shared" si="79"/>
        <v>40077</v>
      </c>
      <c r="DJ90" s="3538">
        <f t="shared" si="79"/>
        <v>44069</v>
      </c>
      <c r="DK90" s="3538">
        <f t="shared" si="79"/>
        <v>33248</v>
      </c>
      <c r="DL90" s="3538">
        <f t="shared" si="79"/>
        <v>38399</v>
      </c>
      <c r="DM90" s="3538">
        <f t="shared" si="79"/>
        <v>53267</v>
      </c>
      <c r="DN90" s="3538">
        <f t="shared" si="79"/>
        <v>56549</v>
      </c>
      <c r="DO90" s="3538">
        <f t="shared" si="79"/>
        <v>39687</v>
      </c>
      <c r="DP90" s="3538">
        <f t="shared" si="79"/>
        <v>32257</v>
      </c>
      <c r="DQ90" s="3538">
        <f t="shared" si="79"/>
        <v>41480</v>
      </c>
      <c r="DR90" s="3538">
        <f t="shared" si="79"/>
        <v>38590</v>
      </c>
      <c r="DS90" s="3539">
        <f t="shared" si="79"/>
        <v>54139</v>
      </c>
      <c r="DT90" s="3540">
        <f t="shared" si="79"/>
        <v>40668</v>
      </c>
      <c r="DU90" s="3541">
        <f t="shared" si="79"/>
        <v>38015</v>
      </c>
      <c r="DV90" s="3541">
        <f t="shared" si="79"/>
        <v>42983</v>
      </c>
      <c r="DW90" s="3541">
        <f t="shared" si="79"/>
        <v>40813</v>
      </c>
      <c r="DX90" s="3541">
        <f t="shared" si="79"/>
        <v>38753</v>
      </c>
      <c r="DY90" s="3541">
        <f t="shared" si="79"/>
        <v>56182</v>
      </c>
      <c r="DZ90" s="3541">
        <f t="shared" si="79"/>
        <v>58517</v>
      </c>
      <c r="EA90" s="3541">
        <f t="shared" si="79"/>
        <v>41677</v>
      </c>
      <c r="EB90" s="3541">
        <f t="shared" ref="EB90:FC90" si="80">EB53+EB54+EB55+EB56+EB57+EB58+EB59+EB60+EB61+EB62+EB63+EB65+EB66+EB67+EB68++EB72+EB77+EB80</f>
        <v>36660</v>
      </c>
      <c r="EC90" s="3541">
        <f t="shared" si="80"/>
        <v>40411</v>
      </c>
      <c r="ED90" s="3541">
        <f t="shared" si="80"/>
        <v>42176</v>
      </c>
      <c r="EE90" s="3542">
        <f t="shared" si="80"/>
        <v>60086</v>
      </c>
      <c r="EF90" s="3543">
        <f t="shared" si="80"/>
        <v>44116</v>
      </c>
      <c r="EG90" s="3543">
        <f t="shared" si="80"/>
        <v>43819</v>
      </c>
      <c r="EH90" s="3543">
        <f t="shared" si="80"/>
        <v>48935</v>
      </c>
      <c r="EI90" s="3543">
        <f t="shared" si="80"/>
        <v>38999</v>
      </c>
      <c r="EJ90" s="3543">
        <f t="shared" si="80"/>
        <v>45343</v>
      </c>
      <c r="EK90" s="3543">
        <f t="shared" si="80"/>
        <v>60840</v>
      </c>
      <c r="EL90" s="3543">
        <f t="shared" si="80"/>
        <v>61312</v>
      </c>
      <c r="EM90" s="3543">
        <f t="shared" si="80"/>
        <v>44995</v>
      </c>
      <c r="EN90" s="3543">
        <f t="shared" si="80"/>
        <v>40536</v>
      </c>
      <c r="EO90" s="3543">
        <f t="shared" si="80"/>
        <v>42991</v>
      </c>
      <c r="EP90" s="3543">
        <f t="shared" si="80"/>
        <v>43868</v>
      </c>
      <c r="EQ90" s="3543">
        <f t="shared" si="80"/>
        <v>60833</v>
      </c>
      <c r="ER90" s="3544">
        <f t="shared" si="80"/>
        <v>44054</v>
      </c>
      <c r="ES90" s="3545">
        <f t="shared" si="80"/>
        <v>43272</v>
      </c>
      <c r="ET90" s="3545">
        <f t="shared" si="80"/>
        <v>45164</v>
      </c>
      <c r="EU90" s="3545">
        <f t="shared" si="80"/>
        <v>43045</v>
      </c>
      <c r="EV90" s="3545">
        <f t="shared" si="80"/>
        <v>44506</v>
      </c>
      <c r="EW90" s="3545">
        <f t="shared" si="80"/>
        <v>57061</v>
      </c>
      <c r="EX90" s="3545">
        <f t="shared" si="80"/>
        <v>61128</v>
      </c>
      <c r="EY90" s="3545">
        <f t="shared" si="80"/>
        <v>47859</v>
      </c>
      <c r="EZ90" s="3545">
        <f t="shared" si="80"/>
        <v>43017</v>
      </c>
      <c r="FA90" s="3545">
        <f t="shared" si="80"/>
        <v>34471</v>
      </c>
      <c r="FB90" s="3545">
        <f t="shared" si="80"/>
        <v>43236</v>
      </c>
      <c r="FC90" s="3546">
        <f t="shared" si="80"/>
        <v>54303</v>
      </c>
      <c r="FD90" s="2814">
        <f>FD54+FD55+FD56+FD57+FD58+FD59+FD60+FD61+FD63+FD65+FD66+FD68</f>
        <v>43014</v>
      </c>
      <c r="FE90" s="2814">
        <f t="shared" ref="FE90:HP90" si="81">FE54+FE55+FE56+FE57+FE58+FE59+FE60+FE61+FE63+FE65+FE66+FE68</f>
        <v>43113</v>
      </c>
      <c r="FF90" s="2814">
        <f t="shared" si="81"/>
        <v>17231</v>
      </c>
      <c r="FG90" s="2814">
        <f t="shared" si="81"/>
        <v>282</v>
      </c>
      <c r="FH90" s="2814">
        <f t="shared" si="81"/>
        <v>437</v>
      </c>
      <c r="FI90" s="2814">
        <f t="shared" si="81"/>
        <v>1100</v>
      </c>
      <c r="FJ90" s="2814">
        <f t="shared" si="81"/>
        <v>3110</v>
      </c>
      <c r="FK90" s="2814">
        <f t="shared" si="81"/>
        <v>3823</v>
      </c>
      <c r="FL90" s="2814">
        <f t="shared" si="81"/>
        <v>4705</v>
      </c>
      <c r="FM90" s="2814">
        <f t="shared" si="81"/>
        <v>7673</v>
      </c>
      <c r="FN90" s="2814">
        <f t="shared" si="81"/>
        <v>9321</v>
      </c>
      <c r="FO90" s="2814">
        <f t="shared" si="81"/>
        <v>15293</v>
      </c>
      <c r="FP90" s="2814">
        <f t="shared" si="81"/>
        <v>11920</v>
      </c>
      <c r="FQ90" s="2814">
        <f t="shared" si="81"/>
        <v>8651</v>
      </c>
      <c r="FR90" s="2814">
        <f t="shared" si="81"/>
        <v>11273</v>
      </c>
      <c r="FS90" s="2814">
        <f t="shared" si="81"/>
        <v>10440</v>
      </c>
      <c r="FT90" s="2814">
        <f t="shared" si="81"/>
        <v>12493</v>
      </c>
      <c r="FU90" s="2814">
        <f t="shared" si="81"/>
        <v>0</v>
      </c>
      <c r="FV90" s="2814">
        <f t="shared" si="81"/>
        <v>0</v>
      </c>
      <c r="FW90" s="2814">
        <f t="shared" si="81"/>
        <v>0</v>
      </c>
      <c r="FX90" s="2814">
        <f t="shared" si="81"/>
        <v>0</v>
      </c>
      <c r="FY90" s="2814">
        <f t="shared" si="81"/>
        <v>0</v>
      </c>
      <c r="FZ90" s="2814">
        <f t="shared" si="81"/>
        <v>0</v>
      </c>
      <c r="GA90" s="2814">
        <f t="shared" si="81"/>
        <v>0</v>
      </c>
      <c r="GB90" s="2815">
        <f t="shared" si="81"/>
        <v>0</v>
      </c>
      <c r="GC90" s="2816">
        <f t="shared" si="81"/>
        <v>60909</v>
      </c>
      <c r="GD90" s="2816">
        <f t="shared" si="81"/>
        <v>66308</v>
      </c>
      <c r="GE90" s="2816">
        <f t="shared" si="81"/>
        <v>83688</v>
      </c>
      <c r="GF90" s="2816">
        <f t="shared" si="81"/>
        <v>70874</v>
      </c>
      <c r="GG90" s="2816">
        <f t="shared" si="81"/>
        <v>83211</v>
      </c>
      <c r="GH90" s="2816">
        <f t="shared" si="81"/>
        <v>82103</v>
      </c>
      <c r="GI90" s="2816">
        <f t="shared" si="81"/>
        <v>89484</v>
      </c>
      <c r="GJ90" s="2816">
        <f t="shared" si="81"/>
        <v>76200</v>
      </c>
      <c r="GK90" s="2816">
        <f t="shared" si="81"/>
        <v>72346</v>
      </c>
      <c r="GL90" s="2816">
        <f t="shared" si="81"/>
        <v>85263</v>
      </c>
      <c r="GM90" s="2816">
        <f t="shared" si="81"/>
        <v>83828</v>
      </c>
      <c r="GN90" s="2816">
        <f t="shared" si="81"/>
        <v>72152</v>
      </c>
      <c r="GO90" s="2816">
        <f t="shared" si="81"/>
        <v>73398</v>
      </c>
      <c r="GP90" s="2816">
        <f t="shared" si="81"/>
        <v>78319</v>
      </c>
      <c r="GQ90" s="2816">
        <f t="shared" si="81"/>
        <v>84048</v>
      </c>
      <c r="GR90" s="2816">
        <f t="shared" si="81"/>
        <v>73698</v>
      </c>
      <c r="GS90" s="2816">
        <f t="shared" si="81"/>
        <v>74804</v>
      </c>
      <c r="GT90" s="2816">
        <f t="shared" si="81"/>
        <v>83993</v>
      </c>
      <c r="GU90" s="2816">
        <f t="shared" si="81"/>
        <v>88278</v>
      </c>
      <c r="GV90" s="2816">
        <f t="shared" si="81"/>
        <v>81305</v>
      </c>
      <c r="GW90" s="2816">
        <f t="shared" si="81"/>
        <v>75380</v>
      </c>
      <c r="GX90" s="2816">
        <f t="shared" si="81"/>
        <v>94656</v>
      </c>
      <c r="GY90" s="2816">
        <f t="shared" si="81"/>
        <v>100609</v>
      </c>
      <c r="GZ90" s="2816">
        <f t="shared" si="81"/>
        <v>93354</v>
      </c>
      <c r="HA90" s="2816">
        <f t="shared" si="81"/>
        <v>88592</v>
      </c>
      <c r="HB90" s="2816">
        <f t="shared" si="81"/>
        <v>94701</v>
      </c>
      <c r="HC90" s="2816">
        <f t="shared" si="81"/>
        <v>99853</v>
      </c>
      <c r="HD90" s="2816">
        <f t="shared" si="81"/>
        <v>92058</v>
      </c>
      <c r="HE90" s="2816">
        <f t="shared" si="81"/>
        <v>97056</v>
      </c>
      <c r="HF90" s="2816">
        <f t="shared" si="81"/>
        <v>100330</v>
      </c>
      <c r="HG90" s="2816">
        <f t="shared" si="81"/>
        <v>106261</v>
      </c>
      <c r="HH90" s="2816">
        <f t="shared" si="81"/>
        <v>104058</v>
      </c>
      <c r="HI90" s="2816">
        <f t="shared" si="81"/>
        <v>101284</v>
      </c>
      <c r="HJ90" s="2816">
        <f t="shared" si="81"/>
        <v>100677</v>
      </c>
      <c r="HK90" s="2816">
        <f t="shared" si="81"/>
        <v>103674</v>
      </c>
      <c r="HL90" s="2816">
        <f t="shared" si="81"/>
        <v>97941</v>
      </c>
      <c r="HM90" s="2816">
        <f t="shared" si="81"/>
        <v>97368</v>
      </c>
      <c r="HN90" s="2816">
        <f t="shared" si="81"/>
        <v>99919</v>
      </c>
      <c r="HO90" s="2816">
        <f t="shared" si="81"/>
        <v>109967</v>
      </c>
      <c r="HP90" s="2816">
        <f t="shared" si="81"/>
        <v>89680</v>
      </c>
      <c r="HQ90" s="2816">
        <f t="shared" ref="HQ90:JA90" si="82">HQ54+HQ55+HQ56+HQ57+HQ58+HQ59+HQ60+HQ61+HQ63+HQ65+HQ66+HQ68</f>
        <v>84105</v>
      </c>
      <c r="HR90" s="2816">
        <f t="shared" si="82"/>
        <v>93867</v>
      </c>
      <c r="HS90" s="2816">
        <f t="shared" si="82"/>
        <v>91292</v>
      </c>
      <c r="HT90" s="2816">
        <f t="shared" si="82"/>
        <v>88964</v>
      </c>
      <c r="HU90" s="2816">
        <f t="shared" si="82"/>
        <v>93929</v>
      </c>
      <c r="HV90" s="2816">
        <f t="shared" si="82"/>
        <v>100939</v>
      </c>
      <c r="HW90" s="2816">
        <f t="shared" si="82"/>
        <v>98038</v>
      </c>
      <c r="HX90" s="2816">
        <f t="shared" si="82"/>
        <v>92271</v>
      </c>
      <c r="HY90" s="2816">
        <f t="shared" si="82"/>
        <v>91275</v>
      </c>
      <c r="HZ90" s="2816">
        <f t="shared" si="82"/>
        <v>117382</v>
      </c>
      <c r="IA90" s="2816">
        <f t="shared" si="82"/>
        <v>140718</v>
      </c>
      <c r="IB90" s="2816">
        <f t="shared" si="82"/>
        <v>122204</v>
      </c>
      <c r="IC90" s="2816">
        <f t="shared" si="82"/>
        <v>103358</v>
      </c>
      <c r="ID90" s="2816">
        <f t="shared" si="82"/>
        <v>1819</v>
      </c>
      <c r="IE90" s="2816">
        <f t="shared" si="82"/>
        <v>131861</v>
      </c>
      <c r="IF90" s="2816">
        <f t="shared" si="82"/>
        <v>32287</v>
      </c>
      <c r="IG90" s="2816">
        <f t="shared" si="82"/>
        <v>31844</v>
      </c>
      <c r="IH90" s="2816">
        <f t="shared" si="82"/>
        <v>22933</v>
      </c>
      <c r="II90" s="2816">
        <f t="shared" si="82"/>
        <v>0</v>
      </c>
      <c r="IJ90" s="2816">
        <f t="shared" si="82"/>
        <v>0</v>
      </c>
      <c r="IK90" s="2816">
        <f t="shared" si="82"/>
        <v>0</v>
      </c>
      <c r="IL90" s="3547">
        <f t="shared" si="82"/>
        <v>281779</v>
      </c>
      <c r="IM90" s="3547">
        <f t="shared" si="82"/>
        <v>330998</v>
      </c>
      <c r="IN90" s="3547">
        <f t="shared" si="82"/>
        <v>313589</v>
      </c>
      <c r="IO90" s="3547">
        <f t="shared" si="82"/>
        <v>309463</v>
      </c>
      <c r="IP90" s="3547">
        <f t="shared" si="82"/>
        <v>328380</v>
      </c>
      <c r="IQ90" s="3547">
        <f t="shared" si="82"/>
        <v>363999</v>
      </c>
      <c r="IR90" s="3547">
        <f t="shared" si="82"/>
        <v>375204</v>
      </c>
      <c r="IS90" s="3547">
        <f t="shared" si="82"/>
        <v>407705</v>
      </c>
      <c r="IT90" s="3547">
        <f t="shared" si="82"/>
        <v>403576</v>
      </c>
      <c r="IU90" s="3548">
        <f t="shared" si="82"/>
        <v>389145</v>
      </c>
      <c r="IV90" s="3549">
        <f t="shared" si="82"/>
        <v>358228</v>
      </c>
      <c r="IW90" s="3549">
        <f t="shared" si="82"/>
        <v>385177</v>
      </c>
      <c r="IX90" s="3549">
        <f t="shared" si="82"/>
        <v>471579</v>
      </c>
      <c r="IY90" s="3550">
        <f t="shared" si="82"/>
        <v>149102</v>
      </c>
      <c r="IZ90" s="3550">
        <f t="shared" si="82"/>
        <v>83546</v>
      </c>
      <c r="JA90" s="3585">
        <f t="shared" si="82"/>
        <v>54777</v>
      </c>
      <c r="JC90" s="2566"/>
      <c r="JD90" s="2566"/>
      <c r="JE90" s="2566"/>
      <c r="JF90" s="2566"/>
      <c r="JG90" s="2566"/>
      <c r="JH90" s="2566"/>
      <c r="JI90" s="3076"/>
      <c r="JJ90" s="2566"/>
      <c r="JK90" s="2566"/>
      <c r="JL90" s="2566"/>
      <c r="JM90" s="2566"/>
      <c r="JN90" s="2566"/>
      <c r="JO90" s="2566"/>
      <c r="JP90" s="2566"/>
      <c r="JQ90" s="2566"/>
      <c r="JS90" s="3551"/>
      <c r="JT90" s="3551"/>
      <c r="JU90" s="3551"/>
      <c r="JV90" s="3551"/>
      <c r="JW90" s="3551"/>
      <c r="JX90" s="3551"/>
      <c r="JY90" s="3551"/>
      <c r="JZ90" s="3551"/>
      <c r="KA90" s="3551"/>
      <c r="KB90" s="3551"/>
      <c r="KC90" s="3551"/>
      <c r="KD90" s="3551"/>
      <c r="KE90" s="3551"/>
      <c r="KF90" s="3551"/>
      <c r="KG90" s="3551"/>
      <c r="KH90" s="3551"/>
      <c r="KI90" s="3551"/>
      <c r="KJ90" s="3551"/>
      <c r="KK90" s="3551"/>
      <c r="KL90" s="3551"/>
      <c r="KM90" s="3551"/>
      <c r="KN90" s="3551"/>
      <c r="KO90" s="3551"/>
    </row>
    <row r="91" spans="1:301" ht="15" thickBot="1">
      <c r="A91" s="3372"/>
      <c r="B91" s="3328"/>
      <c r="C91" s="3508" t="s">
        <v>1521</v>
      </c>
      <c r="D91" s="3552"/>
      <c r="E91" s="3552"/>
      <c r="F91" s="3552"/>
      <c r="G91" s="3552"/>
      <c r="H91" s="3552"/>
      <c r="I91" s="3552"/>
      <c r="J91" s="3552"/>
      <c r="K91" s="3552"/>
      <c r="L91" s="3552"/>
      <c r="M91" s="3552"/>
      <c r="N91" s="3552"/>
      <c r="O91" s="3552"/>
      <c r="P91" s="3553"/>
      <c r="Q91" s="3553"/>
      <c r="R91" s="3553"/>
      <c r="S91" s="3553"/>
      <c r="T91" s="3553"/>
      <c r="U91" s="3553"/>
      <c r="V91" s="3553"/>
      <c r="W91" s="3553"/>
      <c r="X91" s="3553"/>
      <c r="Y91" s="3553"/>
      <c r="Z91" s="3553"/>
      <c r="AA91" s="3553"/>
      <c r="AB91" s="3554"/>
      <c r="AC91" s="3554"/>
      <c r="AD91" s="3554"/>
      <c r="AE91" s="3554"/>
      <c r="AF91" s="3554"/>
      <c r="AG91" s="3554"/>
      <c r="AH91" s="3554"/>
      <c r="AI91" s="3554"/>
      <c r="AJ91" s="3554"/>
      <c r="AK91" s="3554"/>
      <c r="AL91" s="3554"/>
      <c r="AM91" s="3554"/>
      <c r="AN91" s="3555"/>
      <c r="AO91" s="3555"/>
      <c r="AP91" s="3555"/>
      <c r="AQ91" s="3555"/>
      <c r="AR91" s="3555"/>
      <c r="AS91" s="3555"/>
      <c r="AT91" s="3555"/>
      <c r="AU91" s="3555"/>
      <c r="AV91" s="3555"/>
      <c r="AW91" s="3555"/>
      <c r="AX91" s="3555"/>
      <c r="AY91" s="3555"/>
      <c r="AZ91" s="3556"/>
      <c r="BA91" s="3556"/>
      <c r="BB91" s="3556"/>
      <c r="BC91" s="3556"/>
      <c r="BD91" s="3556"/>
      <c r="BE91" s="3556"/>
      <c r="BF91" s="3556"/>
      <c r="BG91" s="3556"/>
      <c r="BH91" s="3556"/>
      <c r="BI91" s="3556"/>
      <c r="BJ91" s="3556"/>
      <c r="BK91" s="3556"/>
      <c r="BL91" s="3557"/>
      <c r="BM91" s="3557"/>
      <c r="BN91" s="3557"/>
      <c r="BO91" s="3557"/>
      <c r="BP91" s="3557"/>
      <c r="BQ91" s="3557"/>
      <c r="BR91" s="3557"/>
      <c r="BS91" s="3557"/>
      <c r="BT91" s="3557"/>
      <c r="BU91" s="3557"/>
      <c r="BV91" s="3557"/>
      <c r="BW91" s="3557"/>
      <c r="BX91" s="3556"/>
      <c r="BY91" s="3556"/>
      <c r="BZ91" s="3556"/>
      <c r="CA91" s="3556"/>
      <c r="CB91" s="3556"/>
      <c r="CC91" s="3556"/>
      <c r="CD91" s="3556"/>
      <c r="CE91" s="3556"/>
      <c r="CF91" s="3556"/>
      <c r="CG91" s="3556"/>
      <c r="CH91" s="3556"/>
      <c r="CI91" s="3556"/>
      <c r="CJ91" s="3558"/>
      <c r="CK91" s="3558"/>
      <c r="CL91" s="3558"/>
      <c r="CM91" s="3558"/>
      <c r="CN91" s="3558"/>
      <c r="CO91" s="3558"/>
      <c r="CP91" s="3558"/>
      <c r="CQ91" s="3558"/>
      <c r="CR91" s="3558"/>
      <c r="CS91" s="3558"/>
      <c r="CT91" s="3558"/>
      <c r="CU91" s="3558"/>
      <c r="CV91" s="3552"/>
      <c r="CW91" s="3552"/>
      <c r="CX91" s="3552"/>
      <c r="CY91" s="3552"/>
      <c r="CZ91" s="3552"/>
      <c r="DA91" s="3552"/>
      <c r="DB91" s="3552"/>
      <c r="DC91" s="3552"/>
      <c r="DD91" s="3552"/>
      <c r="DE91" s="3552"/>
      <c r="DF91" s="3552"/>
      <c r="DG91" s="3552"/>
      <c r="DH91" s="3559"/>
      <c r="DI91" s="3559"/>
      <c r="DJ91" s="3559"/>
      <c r="DK91" s="3559"/>
      <c r="DL91" s="3559"/>
      <c r="DM91" s="3559"/>
      <c r="DN91" s="3559"/>
      <c r="DO91" s="3559"/>
      <c r="DP91" s="3559"/>
      <c r="DQ91" s="3559"/>
      <c r="DR91" s="3559"/>
      <c r="DS91" s="3559"/>
      <c r="DT91" s="3560"/>
      <c r="DU91" s="3560"/>
      <c r="DV91" s="3560"/>
      <c r="DW91" s="3560"/>
      <c r="DX91" s="3560"/>
      <c r="DY91" s="3560"/>
      <c r="DZ91" s="3560"/>
      <c r="EA91" s="3560"/>
      <c r="EB91" s="3560"/>
      <c r="EC91" s="3560"/>
      <c r="ED91" s="3560"/>
      <c r="EE91" s="3560"/>
      <c r="EF91" s="3543"/>
      <c r="EG91" s="3543"/>
      <c r="EH91" s="3543"/>
      <c r="EI91" s="3543"/>
      <c r="EJ91" s="3543"/>
      <c r="EK91" s="3543"/>
      <c r="EL91" s="3543"/>
      <c r="EM91" s="3543"/>
      <c r="EN91" s="3543"/>
      <c r="EO91" s="3543"/>
      <c r="EP91" s="3543"/>
      <c r="EQ91" s="3543"/>
      <c r="ER91" s="3561"/>
      <c r="ES91" s="3562"/>
      <c r="ET91" s="3562"/>
      <c r="EU91" s="3562"/>
      <c r="EV91" s="3562"/>
      <c r="EW91" s="3562"/>
      <c r="EX91" s="3562"/>
      <c r="EY91" s="3562"/>
      <c r="EZ91" s="3562"/>
      <c r="FA91" s="3562"/>
      <c r="FB91" s="3562"/>
      <c r="FC91" s="3563"/>
      <c r="FD91" s="3034">
        <f>FD86-FD90</f>
        <v>14786</v>
      </c>
      <c r="FE91" s="3034">
        <f t="shared" ref="FE91:HP91" si="83">FE86-FE90</f>
        <v>11786</v>
      </c>
      <c r="FF91" s="3034">
        <f t="shared" si="83"/>
        <v>4975</v>
      </c>
      <c r="FG91" s="3034">
        <f t="shared" si="83"/>
        <v>97</v>
      </c>
      <c r="FH91" s="3034">
        <f t="shared" si="83"/>
        <v>213</v>
      </c>
      <c r="FI91" s="3034">
        <f t="shared" si="83"/>
        <v>331</v>
      </c>
      <c r="FJ91" s="3034">
        <f t="shared" si="83"/>
        <v>545</v>
      </c>
      <c r="FK91" s="3034">
        <f t="shared" si="83"/>
        <v>730</v>
      </c>
      <c r="FL91" s="3034">
        <f t="shared" si="83"/>
        <v>1003</v>
      </c>
      <c r="FM91" s="3034">
        <f t="shared" si="83"/>
        <v>1390</v>
      </c>
      <c r="FN91" s="3034">
        <f t="shared" si="83"/>
        <v>2232</v>
      </c>
      <c r="FO91" s="3034">
        <f t="shared" si="83"/>
        <v>3227</v>
      </c>
      <c r="FP91" s="3034">
        <f t="shared" si="83"/>
        <v>2317</v>
      </c>
      <c r="FQ91" s="3034">
        <f t="shared" si="83"/>
        <v>2244</v>
      </c>
      <c r="FR91" s="3034">
        <f t="shared" si="83"/>
        <v>2662</v>
      </c>
      <c r="FS91" s="3034">
        <f t="shared" si="83"/>
        <v>2792</v>
      </c>
      <c r="FT91" s="3034">
        <f t="shared" si="83"/>
        <v>2802</v>
      </c>
      <c r="FU91" s="3034">
        <f t="shared" si="83"/>
        <v>22654</v>
      </c>
      <c r="FV91" s="3034">
        <f t="shared" si="83"/>
        <v>30018</v>
      </c>
      <c r="FW91" s="3034">
        <f t="shared" si="83"/>
        <v>27480</v>
      </c>
      <c r="FX91" s="3034">
        <f t="shared" si="83"/>
        <v>25275</v>
      </c>
      <c r="FY91" s="3034">
        <f t="shared" si="83"/>
        <v>29775</v>
      </c>
      <c r="FZ91" s="3034">
        <f t="shared" si="83"/>
        <v>35230</v>
      </c>
      <c r="GA91" s="3034">
        <f t="shared" si="83"/>
        <v>42970</v>
      </c>
      <c r="GB91" s="2815">
        <f t="shared" si="83"/>
        <v>0</v>
      </c>
      <c r="GC91" s="2816">
        <f t="shared" si="83"/>
        <v>30323</v>
      </c>
      <c r="GD91" s="2816">
        <f t="shared" si="83"/>
        <v>30252</v>
      </c>
      <c r="GE91" s="2816">
        <f t="shared" si="83"/>
        <v>39896</v>
      </c>
      <c r="GF91" s="2816">
        <f t="shared" si="83"/>
        <v>35603</v>
      </c>
      <c r="GG91" s="2816">
        <f t="shared" si="83"/>
        <v>35075</v>
      </c>
      <c r="GH91" s="2816">
        <f t="shared" si="83"/>
        <v>30184</v>
      </c>
      <c r="GI91" s="2816">
        <f t="shared" si="83"/>
        <v>38894</v>
      </c>
      <c r="GJ91" s="2816">
        <f t="shared" si="83"/>
        <v>36348</v>
      </c>
      <c r="GK91" s="2816">
        <f t="shared" si="83"/>
        <v>30795</v>
      </c>
      <c r="GL91" s="2816">
        <f t="shared" si="83"/>
        <v>27467</v>
      </c>
      <c r="GM91" s="2816">
        <f t="shared" si="83"/>
        <v>44113</v>
      </c>
      <c r="GN91" s="2816">
        <f t="shared" si="83"/>
        <v>45901</v>
      </c>
      <c r="GO91" s="2816">
        <f t="shared" si="83"/>
        <v>43077</v>
      </c>
      <c r="GP91" s="2816">
        <f t="shared" si="83"/>
        <v>36488</v>
      </c>
      <c r="GQ91" s="2816">
        <f t="shared" si="83"/>
        <v>41202</v>
      </c>
      <c r="GR91" s="2816">
        <f t="shared" si="83"/>
        <v>43991</v>
      </c>
      <c r="GS91" s="2816">
        <f t="shared" si="83"/>
        <v>38052</v>
      </c>
      <c r="GT91" s="2816">
        <f t="shared" si="83"/>
        <v>37823</v>
      </c>
      <c r="GU91" s="2816">
        <f t="shared" si="83"/>
        <v>40538</v>
      </c>
      <c r="GV91" s="2816">
        <f t="shared" si="83"/>
        <v>42585</v>
      </c>
      <c r="GW91" s="2816">
        <f t="shared" si="83"/>
        <v>38710</v>
      </c>
      <c r="GX91" s="2816">
        <f t="shared" si="83"/>
        <v>36754</v>
      </c>
      <c r="GY91" s="2816">
        <f t="shared" si="83"/>
        <v>41518</v>
      </c>
      <c r="GZ91" s="2816">
        <f t="shared" si="83"/>
        <v>52477</v>
      </c>
      <c r="HA91" s="2816">
        <f t="shared" si="83"/>
        <v>49746</v>
      </c>
      <c r="HB91" s="2816">
        <f t="shared" si="83"/>
        <v>56090</v>
      </c>
      <c r="HC91" s="2816">
        <f t="shared" si="83"/>
        <v>66361</v>
      </c>
      <c r="HD91" s="2816">
        <f t="shared" si="83"/>
        <v>81529</v>
      </c>
      <c r="HE91" s="2816">
        <f t="shared" si="83"/>
        <v>60002</v>
      </c>
      <c r="HF91" s="2816">
        <f t="shared" si="83"/>
        <v>60209</v>
      </c>
      <c r="HG91" s="2816">
        <f t="shared" si="83"/>
        <v>78482</v>
      </c>
      <c r="HH91" s="2816">
        <f t="shared" si="83"/>
        <v>96617</v>
      </c>
      <c r="HI91" s="2816">
        <f t="shared" si="83"/>
        <v>69654</v>
      </c>
      <c r="HJ91" s="2816">
        <f t="shared" si="83"/>
        <v>76953</v>
      </c>
      <c r="HK91" s="2816">
        <f t="shared" si="83"/>
        <v>73969</v>
      </c>
      <c r="HL91" s="2816">
        <f t="shared" si="83"/>
        <v>88725</v>
      </c>
      <c r="HM91" s="2816">
        <f t="shared" si="83"/>
        <v>61323</v>
      </c>
      <c r="HN91" s="2816">
        <f t="shared" si="83"/>
        <v>48503</v>
      </c>
      <c r="HO91" s="2816">
        <f t="shared" si="83"/>
        <v>68235</v>
      </c>
      <c r="HP91" s="2816">
        <f t="shared" si="83"/>
        <v>76507</v>
      </c>
      <c r="HQ91" s="2816">
        <f t="shared" ref="HQ91:JA91" si="84">HQ86-HQ90</f>
        <v>66974</v>
      </c>
      <c r="HR91" s="2816">
        <f t="shared" si="84"/>
        <v>69258</v>
      </c>
      <c r="HS91" s="2816">
        <f t="shared" si="84"/>
        <v>75413</v>
      </c>
      <c r="HT91" s="2816">
        <f t="shared" si="84"/>
        <v>83046</v>
      </c>
      <c r="HU91" s="2816">
        <f t="shared" si="84"/>
        <v>69799</v>
      </c>
      <c r="HV91" s="2816">
        <f t="shared" si="84"/>
        <v>71246</v>
      </c>
      <c r="HW91" s="2816">
        <f t="shared" si="84"/>
        <v>79248</v>
      </c>
      <c r="HX91" s="2816">
        <f t="shared" si="84"/>
        <v>87022</v>
      </c>
      <c r="HY91" s="2816">
        <f t="shared" si="84"/>
        <v>68317</v>
      </c>
      <c r="HZ91" s="2816">
        <f t="shared" si="84"/>
        <v>60654</v>
      </c>
      <c r="IA91" s="2816">
        <f t="shared" si="84"/>
        <v>46417</v>
      </c>
      <c r="IB91" s="2816">
        <f t="shared" si="84"/>
        <v>37423</v>
      </c>
      <c r="IC91" s="2816">
        <f t="shared" si="84"/>
        <v>31547</v>
      </c>
      <c r="ID91" s="2816">
        <f t="shared" si="84"/>
        <v>641</v>
      </c>
      <c r="IE91" s="2816">
        <f t="shared" si="84"/>
        <v>-117945</v>
      </c>
      <c r="IF91" s="2816">
        <f t="shared" si="84"/>
        <v>6849</v>
      </c>
      <c r="IG91" s="2816">
        <f t="shared" si="84"/>
        <v>7223</v>
      </c>
      <c r="IH91" s="2816">
        <f t="shared" si="84"/>
        <v>28248</v>
      </c>
      <c r="II91" s="2816">
        <f t="shared" si="84"/>
        <v>82773</v>
      </c>
      <c r="IJ91" s="2816">
        <f t="shared" si="84"/>
        <v>107975</v>
      </c>
      <c r="IK91" s="2816">
        <f t="shared" si="84"/>
        <v>0</v>
      </c>
      <c r="IL91" s="3547">
        <f t="shared" si="84"/>
        <v>136074</v>
      </c>
      <c r="IM91" s="3547">
        <f t="shared" si="84"/>
        <v>140501</v>
      </c>
      <c r="IN91" s="3547">
        <f t="shared" si="84"/>
        <v>148276</v>
      </c>
      <c r="IO91" s="3547">
        <f t="shared" si="84"/>
        <v>164758</v>
      </c>
      <c r="IP91" s="3547">
        <f t="shared" si="84"/>
        <v>158998</v>
      </c>
      <c r="IQ91" s="3547">
        <f t="shared" si="84"/>
        <v>169459</v>
      </c>
      <c r="IR91" s="3547">
        <f t="shared" si="84"/>
        <v>253754</v>
      </c>
      <c r="IS91" s="3547">
        <f t="shared" si="84"/>
        <v>295310</v>
      </c>
      <c r="IT91" s="3547">
        <f t="shared" si="84"/>
        <v>309301</v>
      </c>
      <c r="IU91" s="3564">
        <f t="shared" si="84"/>
        <v>238481</v>
      </c>
      <c r="IV91" s="3543">
        <f t="shared" si="84"/>
        <v>294703</v>
      </c>
      <c r="IW91" s="3543">
        <f t="shared" si="84"/>
        <v>307315</v>
      </c>
      <c r="IX91" s="3543">
        <f t="shared" si="84"/>
        <v>212811</v>
      </c>
      <c r="IY91" s="3565">
        <f t="shared" si="84"/>
        <v>41315</v>
      </c>
      <c r="IZ91" s="3575">
        <f t="shared" si="84"/>
        <v>197450</v>
      </c>
      <c r="JA91" s="3586">
        <f t="shared" si="84"/>
        <v>12817</v>
      </c>
      <c r="JC91" s="2566"/>
      <c r="JD91" s="2566"/>
      <c r="JE91" s="2566"/>
      <c r="JF91" s="2566"/>
      <c r="JG91" s="2566"/>
      <c r="JH91" s="2566"/>
      <c r="JI91" s="3076"/>
      <c r="JJ91" s="2566"/>
      <c r="JK91" s="2566"/>
      <c r="JL91" s="2566"/>
      <c r="JM91" s="2566"/>
      <c r="JN91" s="2566"/>
      <c r="JO91" s="2566"/>
      <c r="JP91" s="2566"/>
      <c r="JQ91" s="2566"/>
      <c r="JS91" s="3551"/>
      <c r="JT91" s="3551"/>
      <c r="JU91" s="3551"/>
      <c r="JV91" s="3551"/>
      <c r="JW91" s="3551"/>
      <c r="JX91" s="3551"/>
      <c r="JY91" s="3551"/>
      <c r="JZ91" s="3551"/>
      <c r="KA91" s="3551"/>
      <c r="KB91" s="3551"/>
      <c r="KC91" s="3551"/>
      <c r="KD91" s="3551"/>
      <c r="KE91" s="3551"/>
      <c r="KF91" s="3551"/>
      <c r="KG91" s="3551"/>
      <c r="KH91" s="3551"/>
      <c r="KI91" s="3551"/>
      <c r="KJ91" s="3551"/>
      <c r="KK91" s="3551"/>
      <c r="KL91" s="3551"/>
      <c r="KM91" s="3551"/>
      <c r="KN91" s="3551"/>
      <c r="KO91" s="3551"/>
    </row>
    <row r="92" spans="1:301" ht="15" thickBot="1">
      <c r="A92" s="3566"/>
      <c r="B92" s="3566"/>
      <c r="C92" s="3567" t="s">
        <v>503</v>
      </c>
      <c r="D92" s="3568"/>
      <c r="E92" s="2580"/>
      <c r="F92" s="2580"/>
      <c r="G92" s="3569"/>
      <c r="H92" s="2580"/>
      <c r="I92" s="2580"/>
      <c r="J92" s="2580"/>
      <c r="K92" s="2580"/>
      <c r="L92" s="2580"/>
      <c r="M92" s="3569"/>
      <c r="N92" s="2580"/>
      <c r="O92" s="2580"/>
      <c r="P92" s="2581">
        <f>P90/D90-1</f>
        <v>0.19629063405214042</v>
      </c>
      <c r="Q92" s="2581">
        <f t="shared" ref="Q92:CB92" si="85">Q90/E90-1</f>
        <v>0.55365505198825304</v>
      </c>
      <c r="R92" s="2581">
        <f t="shared" si="85"/>
        <v>9.7465886939571256E-2</v>
      </c>
      <c r="S92" s="2581">
        <f t="shared" si="85"/>
        <v>0.11842840562266255</v>
      </c>
      <c r="T92" s="2581">
        <f t="shared" si="85"/>
        <v>0.2056353723086719</v>
      </c>
      <c r="U92" s="2581">
        <f t="shared" si="85"/>
        <v>8.1323337679269914E-2</v>
      </c>
      <c r="V92" s="2581">
        <f t="shared" si="85"/>
        <v>-2.4359646921971567E-2</v>
      </c>
      <c r="W92" s="2581">
        <f t="shared" si="85"/>
        <v>-1.2294401063299598E-2</v>
      </c>
      <c r="X92" s="2581">
        <f t="shared" si="85"/>
        <v>5.0730442079566673E-2</v>
      </c>
      <c r="Y92" s="2581">
        <f t="shared" si="85"/>
        <v>5.1591578644822889E-2</v>
      </c>
      <c r="Z92" s="2581">
        <f t="shared" si="85"/>
        <v>6.0884815194732766E-3</v>
      </c>
      <c r="AA92" s="2581">
        <f t="shared" si="85"/>
        <v>-5.8586818757921377E-2</v>
      </c>
      <c r="AB92" s="2581">
        <f t="shared" si="85"/>
        <v>-2.1557087607196879E-2</v>
      </c>
      <c r="AC92" s="2581">
        <f t="shared" si="85"/>
        <v>-0.32016143451940027</v>
      </c>
      <c r="AD92" s="2581">
        <f t="shared" si="85"/>
        <v>-0.11096399160342318</v>
      </c>
      <c r="AE92" s="2581">
        <f t="shared" si="85"/>
        <v>-4.4200169113690624E-3</v>
      </c>
      <c r="AF92" s="2581">
        <f t="shared" si="85"/>
        <v>7.4536211791113693E-2</v>
      </c>
      <c r="AG92" s="2581">
        <f t="shared" si="85"/>
        <v>-1.5297663903541814E-2</v>
      </c>
      <c r="AH92" s="2581">
        <f t="shared" si="85"/>
        <v>-4.8205727644652252E-2</v>
      </c>
      <c r="AI92" s="2581">
        <f t="shared" si="85"/>
        <v>-1.390524250070091E-2</v>
      </c>
      <c r="AJ92" s="2581">
        <f t="shared" si="85"/>
        <v>-5.8518168947616855E-2</v>
      </c>
      <c r="AK92" s="2581">
        <f t="shared" si="85"/>
        <v>-5.6064229586607395E-2</v>
      </c>
      <c r="AL92" s="2581">
        <f t="shared" si="85"/>
        <v>-1.9634928465712909E-2</v>
      </c>
      <c r="AM92" s="2581">
        <f t="shared" si="85"/>
        <v>0.16593180976742627</v>
      </c>
      <c r="AN92" s="2581">
        <f t="shared" si="85"/>
        <v>4.4132810888843022E-2</v>
      </c>
      <c r="AO92" s="2581">
        <f t="shared" si="85"/>
        <v>0.15776817584069125</v>
      </c>
      <c r="AP92" s="2581">
        <f t="shared" si="85"/>
        <v>0.1028733335755021</v>
      </c>
      <c r="AQ92" s="2581">
        <f t="shared" si="85"/>
        <v>-3.0614214569741005E-2</v>
      </c>
      <c r="AR92" s="2581">
        <f t="shared" si="85"/>
        <v>-4.8814204964364727E-2</v>
      </c>
      <c r="AS92" s="2581">
        <f t="shared" si="85"/>
        <v>-1.3009872197138339E-3</v>
      </c>
      <c r="AT92" s="2581">
        <f t="shared" si="85"/>
        <v>1.8937440129688232E-2</v>
      </c>
      <c r="AU92" s="2581">
        <f t="shared" si="85"/>
        <v>-2.2886222778188414E-2</v>
      </c>
      <c r="AV92" s="2581">
        <f t="shared" si="85"/>
        <v>1.5615962984383946E-2</v>
      </c>
      <c r="AW92" s="2581">
        <f t="shared" si="85"/>
        <v>7.9083571609540604E-2</v>
      </c>
      <c r="AX92" s="2581">
        <f t="shared" si="85"/>
        <v>7.5818572195383016E-3</v>
      </c>
      <c r="AY92" s="2581">
        <f t="shared" si="85"/>
        <v>-2.7510753153777268E-2</v>
      </c>
      <c r="AZ92" s="2581">
        <f t="shared" si="85"/>
        <v>1.1982355652116583E-2</v>
      </c>
      <c r="BA92" s="2581">
        <f t="shared" si="85"/>
        <v>-5.283312779905236E-2</v>
      </c>
      <c r="BB92" s="2581">
        <f t="shared" si="85"/>
        <v>5.2534501498633146E-2</v>
      </c>
      <c r="BC92" s="2581">
        <f t="shared" si="85"/>
        <v>0.14727200318598177</v>
      </c>
      <c r="BD92" s="2581">
        <f t="shared" si="85"/>
        <v>1.8990407906210649E-2</v>
      </c>
      <c r="BE92" s="2581">
        <f t="shared" si="85"/>
        <v>4.7407407407407343E-2</v>
      </c>
      <c r="BF92" s="2581">
        <f t="shared" si="85"/>
        <v>4.1051971844566548E-2</v>
      </c>
      <c r="BG92" s="2581">
        <f t="shared" si="85"/>
        <v>1.0329075620471917E-2</v>
      </c>
      <c r="BH92" s="2581">
        <f t="shared" si="85"/>
        <v>2.2209567198177682E-2</v>
      </c>
      <c r="BI92" s="2581">
        <f t="shared" si="85"/>
        <v>7.882202991883025E-3</v>
      </c>
      <c r="BJ92" s="2581">
        <f t="shared" si="85"/>
        <v>7.6047146567223889E-2</v>
      </c>
      <c r="BK92" s="2581">
        <f t="shared" si="85"/>
        <v>6.0733792448349533E-2</v>
      </c>
      <c r="BL92" s="2581">
        <f t="shared" si="85"/>
        <v>1.5776462169019512E-2</v>
      </c>
      <c r="BM92" s="2581">
        <f t="shared" si="85"/>
        <v>-1.164942095525201E-3</v>
      </c>
      <c r="BN92" s="2581">
        <f t="shared" si="85"/>
        <v>6.5058205031918837E-2</v>
      </c>
      <c r="BO92" s="2581">
        <f t="shared" si="85"/>
        <v>3.4990280477645186E-2</v>
      </c>
      <c r="BP92" s="2581">
        <f t="shared" si="85"/>
        <v>7.4102247155399148E-2</v>
      </c>
      <c r="BQ92" s="2581">
        <f t="shared" si="85"/>
        <v>0.11449543969175235</v>
      </c>
      <c r="BR92" s="2581">
        <f t="shared" si="85"/>
        <v>7.9676754578924314E-2</v>
      </c>
      <c r="BS92" s="2581">
        <f t="shared" si="85"/>
        <v>8.0175095035134092E-2</v>
      </c>
      <c r="BT92" s="2581">
        <f t="shared" si="85"/>
        <v>0.16341689879294341</v>
      </c>
      <c r="BU92" s="2581">
        <f t="shared" si="85"/>
        <v>0.18263502945189525</v>
      </c>
      <c r="BV92" s="2581">
        <f t="shared" si="85"/>
        <v>7.8655857416919384E-2</v>
      </c>
      <c r="BW92" s="2581">
        <f t="shared" si="85"/>
        <v>0.19407287177478039</v>
      </c>
      <c r="BX92" s="2581">
        <f t="shared" si="85"/>
        <v>0.169052422583021</v>
      </c>
      <c r="BY92" s="2581">
        <f t="shared" si="85"/>
        <v>0.13899560922063658</v>
      </c>
      <c r="BZ92" s="2581">
        <f t="shared" si="85"/>
        <v>9.9897164683414141E-2</v>
      </c>
      <c r="CA92" s="2581">
        <f t="shared" si="85"/>
        <v>2.9916823182184027E-2</v>
      </c>
      <c r="CB92" s="2581">
        <f t="shared" si="85"/>
        <v>8.4924311723568069E-2</v>
      </c>
      <c r="CC92" s="2581">
        <f t="shared" ref="CC92:EN92" si="86">CC90/BQ90-1</f>
        <v>4.6432244371020337E-2</v>
      </c>
      <c r="CD92" s="2581">
        <f t="shared" si="86"/>
        <v>3.9804409367761862E-2</v>
      </c>
      <c r="CE92" s="2581">
        <f t="shared" si="86"/>
        <v>1.3810387117414891E-2</v>
      </c>
      <c r="CF92" s="2581">
        <f t="shared" si="86"/>
        <v>9.7270550678371981E-2</v>
      </c>
      <c r="CG92" s="2581">
        <f t="shared" si="86"/>
        <v>-3.8016714973126642E-2</v>
      </c>
      <c r="CH92" s="2581">
        <f t="shared" si="86"/>
        <v>4.1107286288009082E-2</v>
      </c>
      <c r="CI92" s="2581">
        <f t="shared" si="86"/>
        <v>9.0416930324122902E-2</v>
      </c>
      <c r="CJ92" s="2581">
        <f t="shared" si="86"/>
        <v>0.12592450556072965</v>
      </c>
      <c r="CK92" s="2581">
        <f t="shared" si="86"/>
        <v>0.23379713287555726</v>
      </c>
      <c r="CL92" s="2581">
        <f t="shared" si="86"/>
        <v>4.6667557098971635E-2</v>
      </c>
      <c r="CM92" s="2581">
        <f t="shared" si="86"/>
        <v>0.18047414354565583</v>
      </c>
      <c r="CN92" s="2581">
        <f t="shared" si="86"/>
        <v>6.4541572605869346E-2</v>
      </c>
      <c r="CO92" s="2581">
        <f t="shared" si="86"/>
        <v>-6.4174142149175051E-2</v>
      </c>
      <c r="CP92" s="2581">
        <f t="shared" si="86"/>
        <v>0.10848939856447481</v>
      </c>
      <c r="CQ92" s="2581">
        <f t="shared" si="86"/>
        <v>5.1491085047073115E-2</v>
      </c>
      <c r="CR92" s="2581">
        <f t="shared" si="86"/>
        <v>4.1138135691842104E-2</v>
      </c>
      <c r="CS92" s="2581">
        <f t="shared" si="86"/>
        <v>0.14078862692330185</v>
      </c>
      <c r="CT92" s="2581">
        <f t="shared" si="86"/>
        <v>0.11834238007329234</v>
      </c>
      <c r="CU92" s="2581">
        <f t="shared" si="86"/>
        <v>0.16336750703892355</v>
      </c>
      <c r="CV92" s="2581">
        <f t="shared" si="86"/>
        <v>9.0139405882782242E-2</v>
      </c>
      <c r="CW92" s="2581">
        <f t="shared" si="86"/>
        <v>-1.1228549808382393E-2</v>
      </c>
      <c r="CX92" s="2581">
        <f t="shared" si="86"/>
        <v>9.9867285998672894E-2</v>
      </c>
      <c r="CY92" s="2581">
        <f t="shared" si="86"/>
        <v>-1.4896551724137952E-2</v>
      </c>
      <c r="CZ92" s="2581">
        <f t="shared" si="86"/>
        <v>1.8140010219724001E-2</v>
      </c>
      <c r="DA92" s="2581">
        <f t="shared" si="86"/>
        <v>0.14874648076149621</v>
      </c>
      <c r="DB92" s="2581">
        <f t="shared" si="86"/>
        <v>6.2779100922893738E-2</v>
      </c>
      <c r="DC92" s="2581">
        <f t="shared" si="86"/>
        <v>-2.6760704281713066E-3</v>
      </c>
      <c r="DD92" s="2581">
        <f t="shared" si="86"/>
        <v>-3.4175375845302614E-2</v>
      </c>
      <c r="DE92" s="2581">
        <f t="shared" si="86"/>
        <v>-6.7437626605810763E-3</v>
      </c>
      <c r="DF92" s="2581">
        <f t="shared" si="86"/>
        <v>-3.7819059820636602E-2</v>
      </c>
      <c r="DG92" s="2581">
        <f t="shared" si="86"/>
        <v>-3.1961276973100805E-2</v>
      </c>
      <c r="DH92" s="2581">
        <f t="shared" si="86"/>
        <v>-7.4093911801464074E-2</v>
      </c>
      <c r="DI92" s="2581">
        <f t="shared" si="86"/>
        <v>-1.0615449181622938E-2</v>
      </c>
      <c r="DJ92" s="2581">
        <f t="shared" si="86"/>
        <v>2.2601229841048953E-2</v>
      </c>
      <c r="DK92" s="2581">
        <f t="shared" si="86"/>
        <v>-6.894427331279751E-2</v>
      </c>
      <c r="DL92" s="2581">
        <f t="shared" si="86"/>
        <v>-3.641154328732743E-2</v>
      </c>
      <c r="DM92" s="2581">
        <f t="shared" si="86"/>
        <v>3.6101223473575583E-2</v>
      </c>
      <c r="DN92" s="2581">
        <f t="shared" si="86"/>
        <v>-9.961833397527875E-3</v>
      </c>
      <c r="DO92" s="2581">
        <f t="shared" si="86"/>
        <v>-4.7646513027559401E-3</v>
      </c>
      <c r="DP92" s="2581">
        <f t="shared" si="86"/>
        <v>-6.6718745479269703E-2</v>
      </c>
      <c r="DQ92" s="2581">
        <f t="shared" si="86"/>
        <v>7.0838496489054048E-2</v>
      </c>
      <c r="DR92" s="2581">
        <f t="shared" si="86"/>
        <v>-1.1855683302179121E-2</v>
      </c>
      <c r="DS92" s="2581">
        <f t="shared" si="86"/>
        <v>3.3226459025153643E-2</v>
      </c>
      <c r="DT92" s="2581">
        <f t="shared" si="86"/>
        <v>-1.9764751253374513E-2</v>
      </c>
      <c r="DU92" s="2581">
        <f t="shared" si="86"/>
        <v>-5.1450956907952206E-2</v>
      </c>
      <c r="DV92" s="2581">
        <f t="shared" si="86"/>
        <v>-2.4643173205654789E-2</v>
      </c>
      <c r="DW92" s="2581">
        <f t="shared" si="86"/>
        <v>0.22753248315688168</v>
      </c>
      <c r="DX92" s="2581">
        <f t="shared" si="86"/>
        <v>9.218990077866529E-3</v>
      </c>
      <c r="DY92" s="2581">
        <f t="shared" si="86"/>
        <v>5.4724313364747479E-2</v>
      </c>
      <c r="DZ92" s="2581">
        <f t="shared" si="86"/>
        <v>3.4801676422217875E-2</v>
      </c>
      <c r="EA92" s="2581">
        <f t="shared" si="86"/>
        <v>5.0142363998286532E-2</v>
      </c>
      <c r="EB92" s="2581">
        <f t="shared" si="86"/>
        <v>0.13649750441764574</v>
      </c>
      <c r="EC92" s="2581">
        <f t="shared" si="86"/>
        <v>-2.5771456123433012E-2</v>
      </c>
      <c r="ED92" s="2581">
        <f t="shared" si="86"/>
        <v>9.2925628401140159E-2</v>
      </c>
      <c r="EE92" s="2581">
        <f t="shared" si="86"/>
        <v>0.10984687563493978</v>
      </c>
      <c r="EF92" s="3570">
        <f t="shared" si="86"/>
        <v>8.4784105439166035E-2</v>
      </c>
      <c r="EG92" s="2581">
        <f t="shared" si="86"/>
        <v>0.15267657503616983</v>
      </c>
      <c r="EH92" s="2581">
        <f t="shared" si="86"/>
        <v>0.13847334992904181</v>
      </c>
      <c r="EI92" s="2581">
        <f t="shared" si="86"/>
        <v>-4.4446622399725633E-2</v>
      </c>
      <c r="EJ92" s="2581">
        <f t="shared" si="86"/>
        <v>0.17005135086315892</v>
      </c>
      <c r="EK92" s="2581">
        <f t="shared" si="86"/>
        <v>8.2909116798974836E-2</v>
      </c>
      <c r="EL92" s="2581">
        <f t="shared" si="86"/>
        <v>4.776389767076239E-2</v>
      </c>
      <c r="EM92" s="2581">
        <f t="shared" si="86"/>
        <v>7.9612256160472183E-2</v>
      </c>
      <c r="EN92" s="2581">
        <f t="shared" si="86"/>
        <v>0.10572831423895246</v>
      </c>
      <c r="EO92" s="2581">
        <f>EO90/EC90-1</f>
        <v>6.3844002870505623E-2</v>
      </c>
      <c r="EP92" s="2581">
        <f>EP90/ED90-1</f>
        <v>4.0117602427921062E-2</v>
      </c>
      <c r="EQ92" s="2581">
        <f>EQ90/EE90-1</f>
        <v>1.2432180541224191E-2</v>
      </c>
      <c r="ER92" s="3570">
        <f>ER90/EF90-1</f>
        <v>-1.4053858010698583E-3</v>
      </c>
      <c r="ES92" s="2581">
        <f t="shared" ref="ES92:GA92" si="87">ES90/EG90-1</f>
        <v>-1.2483169401401262E-2</v>
      </c>
      <c r="ET92" s="2581">
        <f t="shared" si="87"/>
        <v>-7.7061407990191122E-2</v>
      </c>
      <c r="EU92" s="2581">
        <f t="shared" si="87"/>
        <v>0.10374624990384373</v>
      </c>
      <c r="EV92" s="2581">
        <f t="shared" si="87"/>
        <v>-1.8459299120040629E-2</v>
      </c>
      <c r="EW92" s="2581">
        <f t="shared" si="87"/>
        <v>-6.2113740959894859E-2</v>
      </c>
      <c r="EX92" s="2581">
        <f t="shared" si="87"/>
        <v>-3.0010438413361484E-3</v>
      </c>
      <c r="EY92" s="2581">
        <f t="shared" si="87"/>
        <v>6.365151683520387E-2</v>
      </c>
      <c r="EZ92" s="2581">
        <f t="shared" si="87"/>
        <v>6.1204854943753606E-2</v>
      </c>
      <c r="FA92" s="2581">
        <f t="shared" si="87"/>
        <v>-0.19818101463096927</v>
      </c>
      <c r="FB92" s="2581">
        <f t="shared" si="87"/>
        <v>-1.440685693443966E-2</v>
      </c>
      <c r="FC92" s="2585">
        <f t="shared" si="87"/>
        <v>-0.10734305393454213</v>
      </c>
      <c r="FD92" s="2585">
        <f t="shared" si="87"/>
        <v>-2.3607390929314076E-2</v>
      </c>
      <c r="FE92" s="2585">
        <f t="shared" si="87"/>
        <v>-3.6744315030504682E-3</v>
      </c>
      <c r="FF92" s="2585">
        <f t="shared" si="87"/>
        <v>-0.6184793198122398</v>
      </c>
      <c r="FG92" s="2585">
        <f t="shared" si="87"/>
        <v>-0.99344871645951915</v>
      </c>
      <c r="FH92" s="2585">
        <f t="shared" si="87"/>
        <v>-0.99018109917763897</v>
      </c>
      <c r="FI92" s="2585">
        <f t="shared" si="87"/>
        <v>-0.98072238481624929</v>
      </c>
      <c r="FJ92" s="2585">
        <f t="shared" si="87"/>
        <v>-0.94912315141997117</v>
      </c>
      <c r="FK92" s="2585">
        <f t="shared" si="87"/>
        <v>-0.9201195177500574</v>
      </c>
      <c r="FL92" s="2585">
        <f t="shared" si="87"/>
        <v>-0.89062463677150894</v>
      </c>
      <c r="FM92" s="2585">
        <f t="shared" si="87"/>
        <v>-0.77740709581967449</v>
      </c>
      <c r="FN92" s="2585">
        <f t="shared" si="87"/>
        <v>-0.78441576464057727</v>
      </c>
      <c r="FO92" s="2585">
        <f t="shared" si="87"/>
        <v>-0.71837651695118132</v>
      </c>
      <c r="FP92" s="2585">
        <f t="shared" si="87"/>
        <v>-0.72288092249035196</v>
      </c>
      <c r="FQ92" s="2585">
        <f t="shared" si="87"/>
        <v>-0.79934126597545985</v>
      </c>
      <c r="FR92" s="2585">
        <f t="shared" si="87"/>
        <v>-0.34577215483721202</v>
      </c>
      <c r="FS92" s="2585">
        <f t="shared" si="87"/>
        <v>36.021276595744681</v>
      </c>
      <c r="FT92" s="2585">
        <f t="shared" si="87"/>
        <v>27.588100686498855</v>
      </c>
      <c r="FU92" s="2585">
        <f t="shared" si="87"/>
        <v>-1</v>
      </c>
      <c r="FV92" s="2585">
        <f t="shared" si="87"/>
        <v>-1</v>
      </c>
      <c r="FW92" s="2585">
        <f t="shared" si="87"/>
        <v>-1</v>
      </c>
      <c r="FX92" s="2585">
        <f t="shared" si="87"/>
        <v>-1</v>
      </c>
      <c r="FY92" s="2585">
        <f t="shared" si="87"/>
        <v>-1</v>
      </c>
      <c r="FZ92" s="2585">
        <f t="shared" si="87"/>
        <v>-1</v>
      </c>
      <c r="GA92" s="2585">
        <f t="shared" si="87"/>
        <v>-1</v>
      </c>
      <c r="GB92" s="2586"/>
      <c r="GC92" s="2580">
        <v>0</v>
      </c>
      <c r="GD92" s="2580">
        <v>0</v>
      </c>
      <c r="GE92" s="2580">
        <v>0</v>
      </c>
      <c r="GF92" s="2580">
        <v>0</v>
      </c>
      <c r="GG92" s="2581">
        <f>GG90/GC90-1</f>
        <v>0.36615278530266471</v>
      </c>
      <c r="GH92" s="2581">
        <f t="shared" ref="GH92:IJ92" si="88">GH90/GD90-1</f>
        <v>0.23820655124570189</v>
      </c>
      <c r="GI92" s="2581">
        <f t="shared" si="88"/>
        <v>6.9257241181531315E-2</v>
      </c>
      <c r="GJ92" s="2581">
        <f t="shared" si="88"/>
        <v>7.5147444761125337E-2</v>
      </c>
      <c r="GK92" s="2581">
        <f t="shared" si="88"/>
        <v>-0.13057167922510249</v>
      </c>
      <c r="GL92" s="2581">
        <f t="shared" si="88"/>
        <v>3.8488240380984751E-2</v>
      </c>
      <c r="GM92" s="2581">
        <f t="shared" si="88"/>
        <v>-6.3206830271333447E-2</v>
      </c>
      <c r="GN92" s="2581">
        <f t="shared" si="88"/>
        <v>-5.3123359580052543E-2</v>
      </c>
      <c r="GO92" s="2581">
        <f t="shared" si="88"/>
        <v>1.4541232410914207E-2</v>
      </c>
      <c r="GP92" s="2581">
        <f t="shared" si="88"/>
        <v>-8.1442126127394099E-2</v>
      </c>
      <c r="GQ92" s="2581">
        <f t="shared" si="88"/>
        <v>2.6244214343655869E-3</v>
      </c>
      <c r="GR92" s="2581">
        <f t="shared" si="88"/>
        <v>2.1426987470894776E-2</v>
      </c>
      <c r="GS92" s="2581">
        <f t="shared" si="88"/>
        <v>1.9155835308864111E-2</v>
      </c>
      <c r="GT92" s="2581">
        <f t="shared" si="88"/>
        <v>7.244729886745227E-2</v>
      </c>
      <c r="GU92" s="2581">
        <f t="shared" si="88"/>
        <v>5.0328383780696706E-2</v>
      </c>
      <c r="GV92" s="2581">
        <f t="shared" si="88"/>
        <v>0.10321854053027213</v>
      </c>
      <c r="GW92" s="2581">
        <f t="shared" si="88"/>
        <v>7.7001229880755417E-3</v>
      </c>
      <c r="GX92" s="2581">
        <f t="shared" si="88"/>
        <v>0.12695105544509655</v>
      </c>
      <c r="GY92" s="2581">
        <f t="shared" si="88"/>
        <v>0.13968372640975102</v>
      </c>
      <c r="GZ92" s="2581">
        <f t="shared" si="88"/>
        <v>0.14819506795400028</v>
      </c>
      <c r="HA92" s="2581">
        <f t="shared" si="88"/>
        <v>0.1752719554258424</v>
      </c>
      <c r="HB92" s="2581">
        <f t="shared" si="88"/>
        <v>4.7540567951309676E-4</v>
      </c>
      <c r="HC92" s="2581">
        <f t="shared" si="88"/>
        <v>-7.5142382888210291E-3</v>
      </c>
      <c r="HD92" s="2581">
        <f t="shared" si="88"/>
        <v>-1.3882640272511071E-2</v>
      </c>
      <c r="HE92" s="2581">
        <f t="shared" si="88"/>
        <v>9.5539100595990689E-2</v>
      </c>
      <c r="HF92" s="2581">
        <f t="shared" si="88"/>
        <v>5.9439710245931865E-2</v>
      </c>
      <c r="HG92" s="2581">
        <f t="shared" si="88"/>
        <v>6.4174336274323229E-2</v>
      </c>
      <c r="HH92" s="2581">
        <f t="shared" si="88"/>
        <v>0.13035260379326075</v>
      </c>
      <c r="HI92" s="2581">
        <f t="shared" si="88"/>
        <v>4.3562479393340015E-2</v>
      </c>
      <c r="HJ92" s="2581">
        <f t="shared" si="88"/>
        <v>3.4585866640086671E-3</v>
      </c>
      <c r="HK92" s="2581">
        <f t="shared" si="88"/>
        <v>-2.434571479658576E-2</v>
      </c>
      <c r="HL92" s="2581">
        <f t="shared" si="88"/>
        <v>-5.8784524015452866E-2</v>
      </c>
      <c r="HM92" s="2581">
        <f t="shared" si="88"/>
        <v>-3.8663559890999566E-2</v>
      </c>
      <c r="HN92" s="2581">
        <f t="shared" si="88"/>
        <v>-7.5290284772092653E-3</v>
      </c>
      <c r="HO92" s="2581">
        <f t="shared" si="88"/>
        <v>6.0699886181684981E-2</v>
      </c>
      <c r="HP92" s="2581">
        <f t="shared" si="88"/>
        <v>-8.4346698522579922E-2</v>
      </c>
      <c r="HQ92" s="2581">
        <f t="shared" si="88"/>
        <v>-0.13621518363322649</v>
      </c>
      <c r="HR92" s="2581">
        <f t="shared" si="88"/>
        <v>-6.0569060939360875E-2</v>
      </c>
      <c r="HS92" s="2581">
        <f t="shared" si="88"/>
        <v>-0.16982367437503976</v>
      </c>
      <c r="HT92" s="2581">
        <f t="shared" si="88"/>
        <v>-7.9839429081177693E-3</v>
      </c>
      <c r="HU92" s="2581">
        <f t="shared" si="88"/>
        <v>0.11680637298614838</v>
      </c>
      <c r="HV92" s="2581">
        <f t="shared" si="88"/>
        <v>7.5340641546017162E-2</v>
      </c>
      <c r="HW92" s="2581">
        <f t="shared" si="88"/>
        <v>7.389475529071543E-2</v>
      </c>
      <c r="HX92" s="2581">
        <f t="shared" si="88"/>
        <v>3.7172339373229724E-2</v>
      </c>
      <c r="HY92" s="2581">
        <f t="shared" si="88"/>
        <v>-2.8255384386078886E-2</v>
      </c>
      <c r="HZ92" s="2581">
        <f t="shared" si="88"/>
        <v>0.1629003655673229</v>
      </c>
      <c r="IA92" s="2581">
        <f t="shared" si="88"/>
        <v>0.43534139823333806</v>
      </c>
      <c r="IB92" s="2581">
        <f t="shared" si="88"/>
        <v>0.32440311690563672</v>
      </c>
      <c r="IC92" s="2581">
        <f t="shared" si="88"/>
        <v>0.13238016981648859</v>
      </c>
      <c r="ID92" s="2581">
        <f t="shared" si="88"/>
        <v>-0.98450358658056603</v>
      </c>
      <c r="IE92" s="2581">
        <f t="shared" si="88"/>
        <v>-6.2941485808496456E-2</v>
      </c>
      <c r="IF92" s="2581">
        <f t="shared" si="88"/>
        <v>-0.73579424568753882</v>
      </c>
      <c r="IG92" s="2581">
        <f t="shared" si="88"/>
        <v>-0.69190580313086558</v>
      </c>
      <c r="IH92" s="2581">
        <f t="shared" si="88"/>
        <v>11.607476635514018</v>
      </c>
      <c r="II92" s="2581">
        <f t="shared" si="88"/>
        <v>-1</v>
      </c>
      <c r="IJ92" s="2581">
        <f t="shared" si="88"/>
        <v>-1</v>
      </c>
      <c r="IK92" s="2817"/>
      <c r="IL92" s="3571"/>
      <c r="IM92" s="3571">
        <f t="shared" ref="IM92:IW92" si="89">IM90/IL90-1</f>
        <v>0.17467234960731637</v>
      </c>
      <c r="IN92" s="3571">
        <f t="shared" si="89"/>
        <v>-5.2595483960628187E-2</v>
      </c>
      <c r="IO92" s="3571">
        <f t="shared" si="89"/>
        <v>-1.3157349269266483E-2</v>
      </c>
      <c r="IP92" s="3571">
        <f t="shared" si="89"/>
        <v>6.1128470931904655E-2</v>
      </c>
      <c r="IQ92" s="3571">
        <f t="shared" si="89"/>
        <v>0.10846884706742199</v>
      </c>
      <c r="IR92" s="3571">
        <f t="shared" si="89"/>
        <v>3.0783051601790179E-2</v>
      </c>
      <c r="IS92" s="3572">
        <f t="shared" si="89"/>
        <v>8.6622210850630488E-2</v>
      </c>
      <c r="IT92" s="3572">
        <f t="shared" si="89"/>
        <v>-1.0127420561435341E-2</v>
      </c>
      <c r="IU92" s="3573">
        <f t="shared" si="89"/>
        <v>-3.575782504410574E-2</v>
      </c>
      <c r="IV92" s="3572">
        <f t="shared" si="89"/>
        <v>-7.944853460792245E-2</v>
      </c>
      <c r="IW92" s="3572">
        <f t="shared" si="89"/>
        <v>7.5228625344752498E-2</v>
      </c>
      <c r="IX92" s="3572">
        <f>IX90/IW90-1</f>
        <v>0.2243176513654761</v>
      </c>
      <c r="IY92" s="3574">
        <f>IY90/IX90-1</f>
        <v>-0.68382391921608043</v>
      </c>
      <c r="IZ92" s="3574">
        <f>IZ90/IY90-1</f>
        <v>-0.43967217072876286</v>
      </c>
      <c r="JA92" s="3587"/>
      <c r="JC92" s="2566"/>
      <c r="JD92" s="2566"/>
      <c r="JE92" s="2566"/>
      <c r="JF92" s="2566"/>
      <c r="JG92" s="2566"/>
      <c r="JH92" s="2566"/>
      <c r="JI92" s="3076"/>
      <c r="JJ92" s="2566"/>
      <c r="JK92" s="2566"/>
      <c r="JL92" s="2566"/>
      <c r="JM92" s="2566"/>
      <c r="JN92" s="2566"/>
      <c r="JO92" s="2566"/>
      <c r="JP92" s="2566"/>
      <c r="JQ92" s="2566"/>
      <c r="JS92" s="3294"/>
      <c r="JT92" s="3294"/>
      <c r="JU92" s="3294"/>
      <c r="JV92" s="3294"/>
      <c r="JW92" s="3294"/>
      <c r="JX92" s="3294"/>
      <c r="JY92" s="3294"/>
      <c r="JZ92" s="3294"/>
      <c r="KA92" s="3294"/>
      <c r="KB92" s="3294"/>
      <c r="KC92" s="3294"/>
      <c r="KD92" s="3294"/>
      <c r="KE92" s="3294"/>
      <c r="KF92" s="3294"/>
      <c r="KG92" s="3294"/>
      <c r="KH92" s="3294"/>
      <c r="KI92" s="3294"/>
      <c r="KJ92" s="3294"/>
      <c r="KK92" s="3294"/>
      <c r="KL92" s="3294"/>
      <c r="KM92" s="3294"/>
      <c r="KN92" s="3294"/>
      <c r="KO92" s="3294"/>
    </row>
  </sheetData>
  <mergeCells count="119">
    <mergeCell ref="FD3:GA3"/>
    <mergeCell ref="IC3:IJ3"/>
    <mergeCell ref="IY3:IZ3"/>
    <mergeCell ref="JH3:JI3"/>
    <mergeCell ref="JO3:JQ3"/>
    <mergeCell ref="FD4:FO4"/>
    <mergeCell ref="FP4:GA4"/>
    <mergeCell ref="IC4:IF4"/>
    <mergeCell ref="IG4:IJ4"/>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HU49:HX49"/>
    <mergeCell ref="HY49:IB49"/>
    <mergeCell ref="JC49:JC51"/>
    <mergeCell ref="JD49:JD51"/>
    <mergeCell ref="GO49:GR49"/>
    <mergeCell ref="GS49:GV49"/>
    <mergeCell ref="GW49:GZ49"/>
    <mergeCell ref="HA49:HD49"/>
    <mergeCell ref="HE49:HH49"/>
    <mergeCell ref="HI49:HL49"/>
    <mergeCell ref="JL49:JL51"/>
    <mergeCell ref="JM49:JM51"/>
    <mergeCell ref="JN49:JN51"/>
    <mergeCell ref="JO49:JO51"/>
    <mergeCell ref="JP49:JP51"/>
    <mergeCell ref="JQ49:JQ51"/>
    <mergeCell ref="JE49:JE51"/>
    <mergeCell ref="JF49:JF51"/>
    <mergeCell ref="JG49:JG51"/>
    <mergeCell ref="JH49:JH51"/>
    <mergeCell ref="JI49:JI51"/>
    <mergeCell ref="JK49:JK51"/>
  </mergeCells>
  <conditionalFormatting sqref="JL53">
    <cfRule type="cellIs" dxfId="50" priority="15" operator="greaterThan">
      <formula>0</formula>
    </cfRule>
    <cfRule type="top10" dxfId="49" priority="16" rank="10"/>
  </conditionalFormatting>
  <conditionalFormatting sqref="JK53">
    <cfRule type="cellIs" dxfId="48" priority="14" operator="greaterThan">
      <formula>0</formula>
    </cfRule>
  </conditionalFormatting>
  <conditionalFormatting sqref="JM53">
    <cfRule type="cellIs" dxfId="47" priority="12" operator="greaterThan">
      <formula>0</formula>
    </cfRule>
    <cfRule type="top10" dxfId="46" priority="13" rank="10"/>
  </conditionalFormatting>
  <conditionalFormatting sqref="JC4:JF4">
    <cfRule type="top10" dxfId="45" priority="11" rank="10"/>
  </conditionalFormatting>
  <conditionalFormatting sqref="JI53">
    <cfRule type="cellIs" dxfId="44" priority="9" operator="greaterThan">
      <formula>0</formula>
    </cfRule>
    <cfRule type="top10" dxfId="43" priority="10" rank="10"/>
  </conditionalFormatting>
  <conditionalFormatting sqref="JG4">
    <cfRule type="top10" dxfId="42" priority="8" rank="10"/>
  </conditionalFormatting>
  <conditionalFormatting sqref="JN53">
    <cfRule type="cellIs" dxfId="41" priority="6" operator="greaterThan">
      <formula>0</formula>
    </cfRule>
    <cfRule type="top10" dxfId="40" priority="7" rank="10"/>
  </conditionalFormatting>
  <conditionalFormatting sqref="JI54:JI85">
    <cfRule type="top10" dxfId="39" priority="5" rank="10"/>
  </conditionalFormatting>
  <conditionalFormatting sqref="JO53 JQ53">
    <cfRule type="cellIs" dxfId="38" priority="3" operator="greaterThan">
      <formula>0</formula>
    </cfRule>
    <cfRule type="top10" dxfId="37" priority="4" rank="10"/>
  </conditionalFormatting>
  <conditionalFormatting sqref="JP53">
    <cfRule type="cellIs" dxfId="36" priority="1" operator="greaterThan">
      <formula>0</formula>
    </cfRule>
    <cfRule type="top10" dxfId="35" priority="2" rank="10"/>
  </conditionalFormatting>
  <conditionalFormatting sqref="JK87:JK92 JK5:JK53">
    <cfRule type="top10" dxfId="34" priority="17" rank="10"/>
  </conditionalFormatting>
  <conditionalFormatting sqref="JL87:JL92 JL5:JL53">
    <cfRule type="top10" dxfId="33" priority="18" rank="10"/>
  </conditionalFormatting>
  <conditionalFormatting sqref="JM87:JM92 JM5:JM53">
    <cfRule type="top10" dxfId="32" priority="19" rank="10"/>
  </conditionalFormatting>
  <conditionalFormatting sqref="JI87:JI92 JI5:JI53">
    <cfRule type="top10" dxfId="31" priority="20" rank="10"/>
  </conditionalFormatting>
  <conditionalFormatting sqref="JN87:JN92 JN5:JN53">
    <cfRule type="top10" dxfId="30" priority="21" rank="10"/>
  </conditionalFormatting>
  <conditionalFormatting sqref="JO87:JO92 JO5:JO53 JQ5:JQ53 JQ87:JQ92">
    <cfRule type="top10" dxfId="29" priority="22" rank="10"/>
  </conditionalFormatting>
  <conditionalFormatting sqref="JP5:JP53 JP87:JP92">
    <cfRule type="top10" dxfId="28" priority="23" rank="10"/>
  </conditionalFormatting>
  <printOptions horizontalCentered="1" verticalCentered="1"/>
  <pageMargins left="0.39370078740157483" right="0.11811023622047245" top="0.51181102362204722" bottom="0.43307086614173229" header="0" footer="0"/>
  <pageSetup paperSize="9" scale="10"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5"/>
  <sheetViews>
    <sheetView workbookViewId="0">
      <selection activeCell="J23" sqref="J23"/>
    </sheetView>
  </sheetViews>
  <sheetFormatPr baseColWidth="10" defaultRowHeight="14.4"/>
  <cols>
    <col min="2" max="2" width="35.33203125" bestFit="1" customWidth="1"/>
    <col min="3" max="7" width="20" customWidth="1"/>
  </cols>
  <sheetData>
    <row r="1" spans="1:10" ht="15" customHeight="1">
      <c r="A1" s="2826"/>
      <c r="B1" s="5532" t="s">
        <v>1506</v>
      </c>
      <c r="C1" s="5532"/>
      <c r="D1" s="5532"/>
      <c r="E1" s="5532"/>
      <c r="F1" s="5532"/>
      <c r="G1" s="5532"/>
      <c r="H1" s="2982"/>
      <c r="I1" s="2982"/>
      <c r="J1" s="2826"/>
    </row>
    <row r="2" spans="1:10">
      <c r="A2" s="2826"/>
      <c r="B2" s="5532" t="s">
        <v>1507</v>
      </c>
      <c r="C2" s="5532"/>
      <c r="D2" s="5532"/>
      <c r="E2" s="5532"/>
      <c r="F2" s="5532"/>
      <c r="G2" s="5532"/>
      <c r="H2" s="2982"/>
      <c r="I2" s="2982"/>
      <c r="J2" s="2826"/>
    </row>
    <row r="3" spans="1:10" ht="15" customHeight="1">
      <c r="A3" s="2826"/>
      <c r="B3" s="5532" t="s">
        <v>1508</v>
      </c>
      <c r="C3" s="5532"/>
      <c r="D3" s="5532"/>
      <c r="E3" s="5532"/>
      <c r="F3" s="5532"/>
      <c r="G3" s="5532"/>
      <c r="H3" s="2982"/>
      <c r="I3" s="2982"/>
      <c r="J3" s="2826"/>
    </row>
    <row r="4" spans="1:10">
      <c r="A4" s="2826"/>
      <c r="B4" s="5532"/>
      <c r="C4" s="5532"/>
      <c r="D4" s="5532"/>
      <c r="E4" s="5532"/>
      <c r="F4" s="5532"/>
      <c r="G4" s="5532"/>
      <c r="H4" s="2982"/>
      <c r="I4" s="2982"/>
      <c r="J4" s="2826"/>
    </row>
    <row r="5" spans="1:10">
      <c r="A5" s="2826"/>
      <c r="B5" s="2826"/>
      <c r="C5" s="2826"/>
      <c r="D5" s="2826"/>
      <c r="E5" s="2826"/>
      <c r="F5" s="2826"/>
      <c r="G5" s="2826"/>
      <c r="H5" s="2826"/>
      <c r="I5" s="2826"/>
      <c r="J5" s="2826"/>
    </row>
    <row r="6" spans="1:10">
      <c r="A6" s="2826"/>
      <c r="B6" s="2826"/>
      <c r="C6" s="2826"/>
      <c r="D6" s="2826"/>
      <c r="E6" s="2826"/>
      <c r="F6" s="2826"/>
      <c r="G6" s="2826"/>
      <c r="H6" s="2826"/>
      <c r="I6" s="2826"/>
      <c r="J6" s="2826"/>
    </row>
    <row r="7" spans="1:10" ht="29.4" thickBot="1">
      <c r="B7" s="2979" t="s">
        <v>1509</v>
      </c>
      <c r="C7" s="2980" t="s">
        <v>1510</v>
      </c>
      <c r="D7" s="2980" t="s">
        <v>1511</v>
      </c>
      <c r="E7" s="2980" t="s">
        <v>1512</v>
      </c>
      <c r="F7" s="2980" t="s">
        <v>1513</v>
      </c>
      <c r="G7" s="2981" t="s">
        <v>1514</v>
      </c>
    </row>
    <row r="8" spans="1:10" ht="15" thickBot="1">
      <c r="B8" s="4504" t="s">
        <v>1515</v>
      </c>
      <c r="C8" s="2973">
        <v>36753</v>
      </c>
      <c r="D8" s="2974">
        <v>16969</v>
      </c>
      <c r="E8" s="2975">
        <v>38301</v>
      </c>
      <c r="F8" s="2973">
        <v>38939</v>
      </c>
      <c r="G8" s="4511">
        <v>130962</v>
      </c>
    </row>
    <row r="9" spans="1:10" ht="15.6" thickTop="1" thickBot="1">
      <c r="B9" s="4504" t="s">
        <v>1516</v>
      </c>
      <c r="C9" s="2976">
        <v>41156</v>
      </c>
      <c r="D9" s="2974">
        <v>31570</v>
      </c>
      <c r="E9" s="2974">
        <v>31570</v>
      </c>
      <c r="F9" s="2977">
        <v>30270</v>
      </c>
      <c r="G9" s="4511">
        <v>134566</v>
      </c>
    </row>
    <row r="10" spans="1:10" ht="15.6" thickTop="1" thickBot="1">
      <c r="B10" s="4504" t="s">
        <v>1517</v>
      </c>
      <c r="C10" s="2978">
        <v>44477</v>
      </c>
      <c r="D10" s="2974">
        <v>12421</v>
      </c>
      <c r="E10" s="2978">
        <v>27018</v>
      </c>
      <c r="F10" s="2977">
        <v>24607</v>
      </c>
      <c r="G10" s="4512">
        <v>108523</v>
      </c>
    </row>
    <row r="11" spans="1:10" ht="15.6" thickTop="1" thickBot="1">
      <c r="B11" s="4505" t="s">
        <v>1518</v>
      </c>
      <c r="C11" s="4508">
        <v>7673</v>
      </c>
      <c r="D11" s="4509">
        <v>2923</v>
      </c>
      <c r="E11" s="4509">
        <v>5893</v>
      </c>
      <c r="F11" s="4510">
        <v>5184</v>
      </c>
      <c r="G11" s="4513">
        <v>21673</v>
      </c>
    </row>
    <row r="12" spans="1:10" ht="15" thickBot="1">
      <c r="B12" s="4506" t="s">
        <v>1883</v>
      </c>
      <c r="C12" s="4514">
        <v>2197</v>
      </c>
      <c r="D12" s="4515">
        <v>1797</v>
      </c>
      <c r="E12" s="4514">
        <v>7433</v>
      </c>
      <c r="F12" s="4515">
        <v>9485</v>
      </c>
      <c r="G12" s="4516">
        <v>20912</v>
      </c>
    </row>
    <row r="13" spans="1:10" ht="15" thickBot="1">
      <c r="B13" s="4507" t="s">
        <v>1884</v>
      </c>
      <c r="C13" s="4517">
        <v>918</v>
      </c>
      <c r="D13" s="4518"/>
      <c r="E13" s="4517">
        <v>935</v>
      </c>
      <c r="F13" s="4518">
        <v>1122</v>
      </c>
      <c r="G13" s="4517">
        <v>2975</v>
      </c>
    </row>
    <row r="33" spans="2:2">
      <c r="B33" s="2972"/>
    </row>
    <row r="35" spans="2:2">
      <c r="B35" t="s">
        <v>1881</v>
      </c>
    </row>
  </sheetData>
  <mergeCells count="4">
    <mergeCell ref="B1:G1"/>
    <mergeCell ref="B2:G2"/>
    <mergeCell ref="B3:G3"/>
    <mergeCell ref="B4:G4"/>
  </mergeCells>
  <pageMargins left="0.7" right="0.7" top="0.75" bottom="0.75" header="0.3" footer="0.3"/>
  <pageSetup paperSize="9" orientation="portrait" verticalDpi="597"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54</vt:i4>
      </vt:variant>
      <vt:variant>
        <vt:lpstr>Rangos con nombre</vt:lpstr>
      </vt:variant>
      <vt:variant>
        <vt:i4>13</vt:i4>
      </vt:variant>
    </vt:vector>
  </HeadingPairs>
  <TitlesOfParts>
    <vt:vector size="67" baseType="lpstr">
      <vt:lpstr>Origen de datos QT</vt:lpstr>
      <vt:lpstr>DATOS-EC-UIO</vt:lpstr>
      <vt:lpstr>Llegadas </vt:lpstr>
      <vt:lpstr>Llegadas x nacionalidad</vt:lpstr>
      <vt:lpstr>Datos Aeropuerto AMS</vt:lpstr>
      <vt:lpstr>Cifras Clave</vt:lpstr>
      <vt:lpstr>Sugeridos-estancia-gasto</vt:lpstr>
      <vt:lpstr>Tendencias nacionalidad</vt:lpstr>
      <vt:lpstr>Puntos_información_QT</vt:lpstr>
      <vt:lpstr>Museos UIO</vt:lpstr>
      <vt:lpstr>ICCA</vt:lpstr>
      <vt:lpstr>PIB Turistico DMQ</vt:lpstr>
      <vt:lpstr>Gráfico Feriados</vt:lpstr>
      <vt:lpstr>Resume_FF</vt:lpstr>
      <vt:lpstr>FEB-MAR-Carnaval</vt:lpstr>
      <vt:lpstr>ABR-Semana Santa</vt:lpstr>
      <vt:lpstr>MAY-Trabajo</vt:lpstr>
      <vt:lpstr>MAY-Bat Pich</vt:lpstr>
      <vt:lpstr>AGO-Primer grito</vt:lpstr>
      <vt:lpstr>OCT-Ind.GYE</vt:lpstr>
      <vt:lpstr>NOV-Finados</vt:lpstr>
      <vt:lpstr>DIC-FFQQ</vt:lpstr>
      <vt:lpstr>DIC-FF Navidad</vt:lpstr>
      <vt:lpstr>DIC-Fin Año</vt:lpstr>
      <vt:lpstr>4x4 EOH</vt:lpstr>
      <vt:lpstr>TOH (hist) </vt:lpstr>
      <vt:lpstr>Tarifa Promedio Hab ocupada</vt:lpstr>
      <vt:lpstr>Estancia hotelera</vt:lpstr>
      <vt:lpstr>TOH (hist)  (2)</vt:lpstr>
      <vt:lpstr>Ingresos (hist)</vt:lpstr>
      <vt:lpstr>Estancia hotelera (PAISES)</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'Origen de datos QT'!Títulos_a_imprimir</vt:lpstr>
      <vt:lpstr>Resume_FF!Títulos_a_imprimir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Ruben Banda</cp:lastModifiedBy>
  <cp:lastPrinted>2022-05-30T13:46:35Z</cp:lastPrinted>
  <dcterms:created xsi:type="dcterms:W3CDTF">2017-06-02T14:40:17Z</dcterms:created>
  <dcterms:modified xsi:type="dcterms:W3CDTF">2022-06-27T18:59:16Z</dcterms:modified>
</cp:coreProperties>
</file>